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C:\Users\clbrand\Downloads\"/>
    </mc:Choice>
  </mc:AlternateContent>
  <xr:revisionPtr revIDLastSave="0" documentId="13_ncr:1_{A7B58B41-27F7-4951-85F2-1C17A4FCF21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T8" i="5"/>
  <c r="V9" i="5"/>
  <c r="J9" i="5"/>
  <c r="S9" i="5"/>
  <c r="T9" i="5"/>
  <c r="V10" i="5"/>
  <c r="J10" i="5"/>
  <c r="S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H7" i="5"/>
  <c r="X7" i="5"/>
  <c r="I7" i="5"/>
  <c r="R8" i="5"/>
  <c r="I8" i="5"/>
  <c r="H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R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S8" i="5"/>
  <c r="AB9" i="5"/>
  <c r="AB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I9" i="5"/>
  <c r="H9" i="5"/>
  <c r="H10" i="5"/>
  <c r="I10" i="5"/>
  <c r="R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<sst xmlns="http://schemas.openxmlformats.org/spreadsheetml/2006/main" count="22576" uniqueCount="15893">
  <si>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</si>
  <si>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</si>
  <si>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</si>
  <si>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</si>
  <si>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</si>
  <si>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</si>
  <si>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</si>
  <si>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</si>
  <si>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</si>
  <si>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</si>
  <si>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</si>
  <si>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</si>
  <si>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</si>
  <si>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</si>
  <si>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</si>
  <si>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</si>
  <si>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</si>
  <si>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</si>
  <si>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</si>
  <si>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</si>
  <si>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</si>
  <si>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</si>
  <si>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</si>
  <si>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</si>
  <si>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</si>
  <si>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</si>
  <si>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</si>
  <si>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</si>
  <si>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</si>
  <si>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</si>
  <si>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</si>
  <si>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</si>
  <si>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</si>
  <si>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</si>
  <si>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</si>
  <si>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</si>
  <si>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</si>
  <si>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</si>
  <si>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</si>
  <si>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</si>
  <si>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</si>
  <si>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</si>
  <si>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</si>
  <si>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</si>
  <si>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</si>
  <si>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</si>
  <si>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</si>
  <si>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</si>
  <si>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</si>
  <si>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</si>
  <si>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</si>
  <si>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</si>
  <si>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</si>
  <si>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</si>
  <si>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</si>
  <si>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</si>
  <si>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</si>
  <si>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</si>
  <si>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</si>
  <si>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</si>
  <si>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</si>
  <si>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</si>
  <si>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</si>
  <si>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</si>
  <si>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</si>
  <si>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</si>
  <si>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</si>
  <si>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</si>
  <si>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</si>
  <si>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</si>
  <si>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</si>
  <si>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</si>
  <si>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</si>
  <si>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</si>
  <si>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</si>
  <si>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</si>
  <si>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</si>
  <si>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</si>
  <si>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</si>
  <si>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</si>
  <si>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</si>
  <si>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</si>
  <si>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</si>
  <si>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</si>
  <si>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</si>
  <si>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</si>
  <si>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</si>
  <si>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</si>
  <si>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</si>
  <si>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</si>
  <si>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</si>
  <si>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</si>
  <si>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</si>
  <si>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</si>
  <si>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</si>
  <si>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</si>
  <si>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</si>
  <si>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</si>
  <si>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</si>
  <si>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</si>
  <si>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</si>
  <si>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</si>
  <si>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</si>
  <si>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</si>
  <si>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</si>
  <si>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</si>
  <si>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</si>
  <si>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</si>
  <si>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</si>
  <si>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</si>
  <si>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</si>
  <si>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</si>
  <si>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</si>
  <si>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</si>
  <si>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</si>
  <si>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</si>
  <si>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</si>
  <si>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</si>
  <si>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</si>
  <si>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</si>
  <si>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</si>
  <si>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</si>
  <si>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</si>
  <si>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</si>
  <si>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</si>
  <si>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</si>
  <si>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</si>
  <si>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</si>
  <si>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</si>
  <si>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</si>
  <si>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</si>
  <si>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</si>
  <si>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</si>
  <si>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</si>
  <si>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</si>
  <si>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</si>
  <si>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</si>
  <si>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</si>
  <si>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</si>
  <si>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</si>
  <si>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</si>
  <si>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</si>
  <si>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</si>
  <si>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</si>
  <si>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</si>
  <si>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</si>
  <si>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</si>
  <si>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</si>
  <si>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</si>
  <si>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</si>
  <si>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</si>
  <si>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</si>
  <si>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</si>
  <si>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</si>
  <si>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</si>
  <si>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</si>
  <si>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</si>
  <si>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</si>
  <si>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</si>
  <si>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</si>
  <si>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</si>
  <si>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</si>
  <si>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</si>
  <si>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</si>
  <si>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</si>
  <si>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</si>
  <si>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</si>
  <si>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</si>
  <si>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</si>
  <si>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</si>
  <si>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</si>
  <si>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</si>
  <si>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</si>
  <si>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</si>
  <si>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</si>
  <si>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</si>
  <si>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</si>
  <si>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</si>
  <si>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</si>
  <si>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</si>
  <si>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</si>
  <si>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</si>
  <si>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</si>
  <si>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</si>
  <si>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</si>
  <si>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</si>
  <si>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</si>
  <si>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</si>
  <si>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</si>
  <si>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</si>
  <si>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</si>
  <si>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</si>
  <si>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</si>
  <si>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</si>
  <si>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</si>
  <si>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</si>
  <si>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</si>
  <si>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</si>
  <si>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</si>
  <si>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</si>
  <si>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</si>
  <si>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</si>
  <si>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</si>
  <si>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</si>
  <si>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</si>
  <si>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</si>
  <si>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</si>
  <si>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</si>
  <si>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</si>
  <si>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</si>
  <si>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</si>
  <si>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</si>
  <si>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</si>
  <si>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</si>
  <si>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</si>
  <si>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</si>
  <si>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</si>
  <si>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</si>
  <si>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</si>
  <si>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</si>
  <si>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</si>
  <si>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</si>
  <si>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</si>
  <si>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</si>
  <si>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</si>
  <si>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</si>
  <si>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</si>
  <si>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</si>
  <si>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</si>
  <si>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</si>
  <si>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</si>
  <si>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</si>
  <si>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</si>
  <si>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</si>
  <si>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</si>
  <si>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</si>
  <si>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</si>
  <si>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</si>
  <si>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</si>
  <si>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</si>
  <si>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</si>
  <si>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</si>
  <si>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</si>
  <si>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</si>
  <si>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</si>
  <si>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</si>
  <si>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</si>
  <si>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</si>
  <si>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</si>
  <si>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</si>
  <si>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</si>
  <si>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</si>
  <si>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</si>
  <si>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</si>
  <si>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</si>
  <si>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</si>
  <si>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</si>
  <si>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</si>
  <si>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</si>
  <si>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</si>
  <si>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</si>
  <si>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</si>
  <si>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</si>
  <si>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</si>
  <si>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</si>
  <si>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</si>
  <si>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</si>
  <si>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</si>
  <si>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</si>
  <si>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</si>
  <si>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</si>
  <si>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</si>
  <si>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</si>
  <si>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</si>
  <si>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</si>
  <si>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</si>
  <si>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</si>
  <si>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</si>
  <si>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</si>
  <si>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</si>
  <si>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</si>
  <si>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</si>
  <si>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</si>
  <si>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</si>
  <si>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</si>
  <si>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</si>
  <si>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</si>
  <si>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</si>
  <si>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</si>
  <si>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</si>
  <si>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</si>
  <si>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</si>
  <si>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</si>
  <si>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</si>
  <si>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</si>
  <si>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</si>
  <si>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</si>
  <si>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</si>
  <si>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</si>
  <si>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</si>
  <si>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</si>
  <si>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</si>
  <si>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</si>
  <si>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</si>
  <si>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</si>
  <si>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</si>
  <si>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</si>
  <si>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</si>
  <si>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</si>
  <si>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</si>
  <si>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</si>
  <si>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</si>
  <si>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</si>
  <si>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</si>
  <si>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</si>
  <si>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</si>
  <si>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</si>
  <si>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</si>
  <si>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</si>
  <si>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</si>
  <si>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</si>
  <si>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</si>
  <si>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</si>
  <si>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</si>
  <si>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</si>
  <si>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</si>
  <si>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</si>
  <si>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</si>
  <si>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</si>
  <si>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</si>
  <si>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</si>
  <si>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</si>
  <si>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</si>
  <si>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</si>
  <si>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</si>
  <si>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</si>
  <si>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</si>
  <si>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</si>
  <si>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</si>
  <si>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</si>
  <si>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</si>
  <si>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</si>
  <si>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</si>
  <si>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</si>
  <si>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</si>
  <si>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</si>
  <si>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</si>
  <si>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</si>
  <si>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</si>
  <si>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</si>
  <si>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</si>
  <si>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</si>
  <si>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</si>
  <si>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</si>
  <si>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</si>
  <si>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</si>
  <si>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</si>
  <si>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</si>
  <si>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</si>
  <si>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</si>
  <si>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</si>
  <si>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</si>
  <si>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</si>
  <si>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</si>
  <si>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</si>
  <si>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</si>
  <si>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</si>
  <si>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</si>
  <si>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</si>
  <si>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</si>
  <si>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</si>
  <si>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</si>
  <si>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</si>
  <si>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</si>
  <si>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</si>
  <si>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</si>
  <si>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</si>
  <si>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</si>
  <si>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</si>
  <si>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</si>
  <si>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</si>
  <si>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</si>
  <si>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</si>
  <si>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</si>
  <si>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</si>
  <si>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</si>
  <si>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</si>
  <si>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</si>
  <si>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</si>
  <si>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</si>
  <si>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</si>
  <si>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</si>
  <si>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</si>
  <si>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</si>
  <si>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</si>
  <si>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</si>
  <si>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</si>
  <si>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</si>
  <si>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</si>
  <si>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</si>
  <si>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</si>
  <si>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</si>
  <si>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</si>
  <si>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</si>
  <si>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</si>
  <si>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</si>
  <si>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</si>
  <si>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</si>
  <si>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</si>
  <si>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</si>
  <si>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</si>
  <si>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</si>
  <si>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</si>
  <si>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</si>
  <si>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</si>
  <si>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</si>
  <si>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</si>
  <si>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</si>
  <si>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</si>
  <si>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</si>
  <si>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</si>
  <si>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</si>
  <si>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</si>
  <si>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</si>
  <si>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</si>
  <si>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</si>
  <si>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</si>
  <si>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</si>
  <si>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</si>
  <si>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</si>
  <si>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</si>
  <si>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</si>
  <si>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</si>
  <si>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</si>
  <si>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</si>
  <si>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</si>
  <si>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</si>
  <si>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</si>
  <si>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</si>
  <si>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</si>
  <si>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</si>
  <si>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</si>
  <si>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</si>
  <si>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</si>
  <si>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</si>
  <si>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</si>
  <si>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</si>
  <si>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</si>
  <si>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</si>
  <si>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</si>
  <si>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</si>
  <si>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</si>
  <si>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</si>
  <si>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</si>
  <si>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</si>
  <si>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</si>
  <si>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</si>
  <si>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</si>
  <si>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</si>
  <si>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</si>
  <si>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</si>
  <si>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</si>
  <si>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</si>
  <si>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</si>
  <si>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</si>
  <si>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</si>
  <si>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</si>
  <si>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</si>
  <si>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</si>
  <si>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</si>
  <si>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</si>
  <si>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</si>
  <si>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</si>
  <si>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</si>
  <si>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</si>
  <si>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</si>
  <si>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</si>
  <si>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</si>
  <si>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</si>
  <si>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</si>
  <si>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</si>
  <si>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</si>
  <si>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</si>
  <si>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</si>
  <si>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</si>
  <si>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</si>
  <si>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</si>
  <si>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</si>
  <si>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</si>
  <si>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</si>
  <si>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</si>
  <si>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</si>
  <si>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</si>
  <si>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</si>
  <si>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</si>
  <si>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</si>
  <si>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</si>
  <si>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</si>
  <si>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</si>
  <si>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</si>
  <si>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</si>
  <si>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</si>
  <si>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</si>
  <si>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</si>
  <si>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</si>
  <si>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</si>
  <si>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</si>
  <si>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</si>
  <si>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</si>
  <si>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</si>
  <si>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</si>
  <si>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</si>
  <si>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</si>
  <si>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</si>
  <si>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</si>
  <si>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</si>
  <si>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</si>
  <si>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</si>
  <si>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</si>
  <si>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</si>
  <si>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</si>
  <si>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</si>
  <si>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</si>
  <si>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</si>
  <si>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</si>
  <si>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</si>
  <si>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</si>
  <si>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</si>
  <si>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</si>
  <si>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</si>
  <si>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</si>
  <si>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</si>
  <si>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</si>
  <si>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</si>
  <si>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</si>
  <si>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</si>
  <si>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</si>
  <si>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</si>
  <si>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</si>
  <si>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</si>
  <si>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</si>
  <si>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</si>
  <si>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</si>
  <si>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</si>
  <si>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</si>
  <si>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</si>
  <si>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</si>
  <si>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</si>
  <si>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</si>
  <si>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</si>
  <si>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</si>
  <si>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</si>
  <si>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</si>
  <si>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</si>
  <si>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</si>
  <si>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</si>
  <si>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</si>
  <si>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</si>
  <si>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</si>
  <si>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</si>
  <si>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</si>
  <si>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</si>
  <si>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</si>
  <si>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</si>
  <si>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</si>
  <si>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</si>
  <si>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</si>
  <si>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</si>
  <si>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</si>
  <si>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</si>
  <si>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</si>
  <si>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</si>
  <si>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</si>
  <si>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</si>
  <si>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</si>
  <si>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</si>
  <si>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</si>
  <si>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</si>
  <si>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</si>
  <si>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</si>
  <si>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</si>
  <si>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</si>
  <si>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</si>
  <si>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</si>
  <si>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</si>
  <si>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</si>
  <si>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</si>
  <si>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</si>
  <si>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</si>
  <si>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</si>
  <si>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</si>
  <si>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</si>
  <si>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</si>
  <si>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</si>
  <si>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</si>
  <si>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</si>
  <si>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</si>
  <si>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</si>
  <si>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</si>
  <si>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</si>
  <si>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</si>
  <si>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</si>
  <si>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</si>
  <si>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</si>
  <si>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</si>
  <si>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</si>
  <si>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</si>
  <si>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</si>
  <si>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</si>
  <si>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</si>
  <si>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</si>
  <si>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</si>
  <si>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</si>
  <si>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</si>
  <si>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</si>
  <si>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</si>
  <si>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</si>
  <si>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</si>
  <si>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</si>
  <si>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</si>
  <si>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</si>
  <si>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</si>
  <si>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</si>
  <si>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</si>
  <si>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</si>
  <si>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</si>
  <si>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</si>
  <si>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</si>
  <si>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</si>
  <si>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</si>
  <si>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</si>
  <si>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</si>
  <si>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</si>
  <si>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</si>
  <si>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</si>
  <si>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</si>
  <si>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</si>
  <si>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</si>
  <si>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</si>
  <si>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</si>
  <si>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</si>
  <si>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</si>
  <si>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</si>
  <si>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</si>
  <si>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</si>
  <si>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</si>
  <si>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</si>
  <si>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</si>
  <si>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</si>
  <si>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</si>
  <si>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</si>
  <si>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</si>
  <si>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</si>
  <si>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</si>
  <si>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</si>
  <si>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</si>
  <si>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</si>
  <si>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</si>
  <si>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</si>
  <si>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</si>
  <si>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</si>
  <si>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</si>
  <si>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</si>
  <si>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</si>
  <si>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</si>
  <si>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</si>
  <si>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</si>
  <si>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</si>
  <si>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</si>
  <si>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</si>
  <si>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</si>
  <si>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</si>
  <si>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</si>
  <si>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</si>
  <si>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</si>
  <si>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</si>
  <si>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</si>
  <si>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</si>
  <si>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</si>
  <si>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</si>
  <si>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</si>
  <si>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</si>
  <si>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</si>
  <si>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</si>
  <si>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</si>
  <si>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</si>
  <si>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</si>
  <si>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</si>
  <si>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</si>
  <si>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</si>
  <si>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</si>
  <si>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</si>
  <si>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</si>
  <si>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</si>
  <si>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</si>
  <si>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</si>
  <si>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</si>
  <si>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</si>
  <si>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</si>
  <si>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</si>
  <si>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</si>
  <si>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</si>
  <si>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</si>
  <si>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</si>
  <si>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</si>
  <si>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</si>
  <si>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</si>
  <si>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</si>
  <si>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</si>
  <si>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</si>
  <si>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</si>
  <si>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</si>
  <si>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</si>
  <si>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</si>
  <si>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</si>
  <si>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</si>
  <si>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</si>
  <si>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</si>
  <si>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</si>
  <si>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</si>
  <si>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</si>
  <si>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</si>
  <si>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</si>
  <si>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</si>
  <si>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</si>
  <si>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</si>
  <si>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</si>
  <si>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</si>
  <si>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</si>
  <si>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</si>
  <si>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</si>
  <si>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</si>
  <si>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</si>
  <si>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</si>
  <si>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</si>
  <si>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</si>
  <si>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</si>
  <si>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</si>
  <si>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</si>
  <si>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</si>
  <si>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</si>
  <si>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</si>
  <si>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</si>
  <si>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</si>
  <si>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</si>
  <si>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</si>
  <si>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</si>
  <si>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</si>
  <si>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</si>
  <si>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</si>
  <si>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</si>
  <si>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</si>
  <si>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</si>
  <si>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</si>
  <si>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</si>
  <si>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</si>
  <si>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</si>
  <si>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</si>
  <si>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</si>
  <si>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</si>
  <si>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</si>
  <si>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</si>
  <si>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</si>
  <si>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</si>
  <si>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</si>
  <si>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</si>
  <si>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</si>
  <si>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</si>
  <si>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</si>
  <si>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</si>
  <si>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</si>
  <si>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</si>
  <si>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</si>
  <si>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</si>
  <si>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</si>
  <si>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</si>
  <si>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</si>
  <si>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</si>
  <si>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</si>
  <si>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</si>
  <si>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</si>
  <si>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</si>
  <si>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</si>
  <si>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</si>
  <si>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</si>
  <si>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</si>
  <si>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</si>
  <si>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</si>
  <si>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</si>
  <si>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</si>
  <si>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</si>
  <si>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</si>
  <si>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</si>
  <si>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</si>
  <si>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</si>
  <si>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</si>
  <si>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</si>
  <si>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</si>
  <si>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</si>
  <si>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</si>
  <si>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</si>
  <si>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</si>
  <si>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</si>
  <si>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</si>
  <si>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</si>
  <si>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</si>
  <si>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</si>
  <si>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</si>
  <si>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</si>
  <si>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</si>
  <si>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</si>
  <si>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</si>
  <si>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</si>
  <si>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</si>
  <si>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</si>
  <si>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</si>
  <si>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</si>
  <si>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</si>
  <si>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</si>
  <si>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</si>
  <si>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</si>
  <si>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</si>
  <si>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</si>
  <si>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</si>
  <si>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</si>
  <si>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</si>
  <si>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</si>
  <si>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</si>
  <si>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</si>
  <si>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</si>
  <si>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</si>
  <si>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</si>
  <si>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</si>
  <si>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</si>
  <si>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</si>
  <si>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</si>
  <si>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</si>
  <si>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</si>
  <si>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</si>
  <si>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</si>
  <si>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</si>
  <si>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</si>
  <si>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</si>
  <si>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</si>
  <si>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</si>
  <si>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</si>
  <si>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</si>
  <si>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</si>
  <si>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</si>
  <si>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</si>
  <si>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</si>
  <si>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</si>
  <si>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</si>
  <si>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</si>
  <si>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</si>
  <si>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</si>
  <si>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</si>
  <si>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</si>
  <si>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</si>
  <si>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</si>
  <si>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</si>
  <si>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</si>
  <si>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</si>
  <si>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</si>
  <si>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</si>
  <si>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</si>
  <si>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</si>
  <si>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</si>
  <si>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</si>
  <si>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</si>
  <si>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</si>
  <si>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</si>
  <si>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</si>
  <si>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</si>
  <si>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</si>
  <si>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</si>
  <si>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</si>
  <si>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</si>
  <si>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</si>
  <si>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</si>
  <si>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</si>
  <si>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</si>
  <si>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</si>
  <si>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</si>
  <si>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</si>
  <si>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</si>
  <si>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</si>
  <si>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</si>
  <si>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</si>
  <si>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</si>
  <si>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</si>
  <si>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</si>
  <si>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</si>
  <si>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</si>
  <si>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</si>
  <si>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</si>
  <si>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</si>
  <si>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</si>
  <si>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</si>
  <si>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</si>
  <si>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</si>
  <si>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</si>
  <si>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</si>
  <si>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</si>
  <si>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</si>
  <si>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</si>
  <si>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</si>
  <si>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</si>
  <si>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</si>
  <si>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</si>
  <si>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</si>
  <si>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</si>
  <si>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</si>
  <si>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</si>
  <si>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</si>
  <si>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</si>
  <si>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</si>
  <si>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</si>
  <si>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</si>
  <si>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</si>
  <si>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</si>
  <si>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</si>
  <si>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</si>
  <si>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</si>
  <si>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</si>
  <si>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</si>
  <si>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</si>
  <si>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</si>
  <si>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</si>
  <si>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</si>
  <si>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</si>
  <si>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</si>
  <si>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</si>
  <si>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</si>
  <si>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</si>
  <si>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</si>
  <si>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</si>
  <si>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</si>
  <si>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</si>
  <si>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</si>
  <si>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</si>
  <si>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</si>
  <si>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</si>
  <si>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</si>
  <si>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</si>
  <si>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</si>
  <si>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</si>
  <si>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</si>
  <si>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</si>
  <si>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</si>
  <si>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</si>
  <si>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</si>
  <si>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</si>
  <si>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</si>
  <si>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</si>
  <si>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</si>
  <si>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</si>
  <si>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</si>
  <si>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</si>
  <si>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</si>
  <si>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</si>
  <si>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</si>
  <si>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</si>
  <si>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</si>
  <si>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</si>
  <si>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</si>
  <si>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</si>
  <si>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</si>
  <si>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</si>
  <si>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</si>
  <si>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</si>
  <si>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</si>
  <si>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</si>
  <si>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</si>
  <si>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</si>
  <si>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</si>
  <si>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</si>
  <si>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</si>
  <si>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</si>
  <si>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</si>
  <si>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</si>
  <si>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</si>
  <si>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</si>
  <si>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</si>
  <si>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</si>
  <si>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</si>
  <si>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</si>
  <si>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</si>
  <si>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</si>
  <si>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</si>
  <si>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</si>
  <si>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</si>
  <si>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</si>
  <si>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</si>
  <si>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</si>
  <si>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</si>
  <si>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</si>
  <si>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</si>
  <si>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</si>
  <si>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</si>
  <si>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</si>
  <si>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</si>
  <si>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</si>
  <si>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</si>
  <si>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</si>
  <si>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</si>
  <si>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</si>
  <si>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</si>
  <si>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</si>
  <si>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</si>
  <si>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</si>
  <si>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</si>
  <si>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</si>
  <si>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</si>
  <si>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</si>
  <si>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</si>
  <si>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</si>
  <si>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</si>
  <si>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</si>
  <si>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</si>
  <si>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</si>
  <si>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</si>
  <si>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</si>
  <si>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</si>
  <si>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</si>
  <si>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</si>
  <si>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</si>
  <si>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</si>
  <si>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</si>
  <si>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</si>
  <si>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</si>
  <si>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</si>
  <si>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</si>
  <si>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</si>
  <si>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</si>
  <si>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</si>
  <si>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</si>
  <si>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</si>
  <si>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</si>
  <si>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</si>
  <si>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</si>
  <si>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</si>
  <si>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</si>
  <si>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</si>
  <si>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</si>
  <si>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</si>
  <si>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</si>
  <si>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</si>
  <si>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</si>
  <si>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</si>
  <si>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</si>
  <si>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</si>
  <si>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</si>
  <si>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</si>
  <si>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</si>
  <si>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</si>
  <si>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</si>
  <si>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</si>
  <si>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</si>
  <si>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</si>
  <si>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</si>
  <si>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</si>
  <si>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</si>
  <si>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</si>
  <si>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</si>
  <si>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</si>
  <si>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</si>
  <si>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</si>
  <si>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</si>
  <si>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</si>
  <si>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</si>
  <si>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</si>
  <si>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</si>
  <si>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</si>
  <si>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</si>
  <si>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</si>
  <si>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</si>
  <si>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</si>
  <si>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</si>
  <si>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</si>
  <si>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</si>
  <si>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</si>
  <si>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</si>
  <si>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</si>
  <si>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</si>
  <si>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</si>
  <si>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</si>
  <si>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</si>
  <si>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</si>
  <si>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</si>
  <si>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</si>
  <si>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</si>
  <si>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</si>
  <si>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</si>
  <si>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</si>
  <si>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</si>
  <si>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</si>
  <si>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</si>
  <si>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</si>
  <si>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</si>
  <si>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</si>
  <si>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</si>
  <si>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</si>
  <si>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</si>
  <si>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</si>
  <si>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</si>
  <si>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</si>
  <si>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</si>
  <si>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</si>
  <si>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</si>
  <si>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</si>
  <si>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</si>
  <si>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</si>
  <si>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</si>
  <si>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</si>
  <si>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</si>
  <si>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</si>
  <si>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</si>
  <si>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</si>
  <si>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</si>
  <si>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</si>
  <si>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</si>
  <si>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</si>
  <si>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</si>
  <si>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</si>
  <si>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</si>
  <si>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</si>
  <si>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</si>
  <si>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</si>
  <si>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</si>
  <si>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</si>
  <si>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</si>
  <si>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</si>
  <si>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</si>
  <si>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</si>
  <si>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</si>
  <si>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</si>
  <si>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</si>
  <si>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</si>
  <si>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</si>
  <si>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</si>
  <si>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</si>
  <si>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</si>
  <si>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</si>
  <si>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</si>
  <si>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</si>
  <si>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</si>
  <si>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</si>
  <si>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</si>
  <si>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</si>
  <si>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</si>
  <si>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</si>
  <si>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</si>
  <si>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</si>
  <si>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</si>
  <si>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</si>
  <si>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</si>
  <si>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</si>
  <si>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</si>
  <si>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</si>
  <si>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</si>
  <si>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</si>
  <si>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</si>
  <si>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</si>
  <si>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</si>
  <si>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</si>
  <si>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</si>
  <si>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</si>
  <si>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</si>
  <si>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</si>
  <si>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</si>
  <si>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</si>
  <si>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</si>
  <si>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</si>
  <si>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</si>
  <si>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</si>
  <si>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</si>
  <si>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</si>
  <si>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</si>
  <si>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</si>
  <si>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</si>
  <si>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</si>
  <si>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</si>
  <si>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</si>
  <si>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</si>
  <si>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</si>
  <si>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</si>
  <si>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</si>
  <si>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</si>
  <si>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</si>
  <si>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</si>
  <si>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</si>
  <si>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</si>
  <si>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</si>
  <si>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</si>
  <si>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</si>
  <si>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</si>
  <si>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</si>
  <si>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</si>
  <si>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</si>
  <si>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</si>
  <si>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</si>
  <si>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</si>
  <si>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</si>
  <si>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</si>
  <si>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</si>
  <si>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</si>
  <si>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</si>
  <si>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</si>
  <si>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</si>
  <si>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</si>
  <si>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</si>
  <si>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</si>
  <si>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</si>
  <si>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</si>
  <si>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</si>
  <si>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</si>
  <si>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</si>
  <si>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</si>
  <si>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</si>
  <si>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</si>
  <si>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</si>
  <si>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</si>
  <si>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</si>
  <si>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</si>
  <si>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</si>
  <si>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</si>
  <si>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</si>
  <si>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</si>
  <si>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</si>
  <si>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</si>
  <si>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</si>
  <si>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</si>
  <si>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</si>
  <si>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</si>
  <si>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</si>
  <si>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</si>
  <si>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</si>
  <si>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</si>
  <si>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</si>
  <si>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</si>
  <si>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</si>
  <si>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</si>
  <si>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</si>
  <si>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</si>
  <si>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</si>
  <si>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</si>
  <si>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</si>
  <si>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</si>
  <si>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</si>
  <si>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</si>
  <si>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</si>
  <si>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</si>
  <si>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</si>
  <si>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</si>
  <si>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</si>
  <si>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</si>
  <si>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</si>
  <si>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</si>
  <si>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</si>
  <si>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</si>
  <si>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</si>
  <si>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</si>
  <si>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</si>
  <si>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</si>
  <si>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</si>
  <si>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</si>
  <si>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</si>
  <si>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</si>
  <si>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</si>
  <si>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</si>
  <si>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</si>
  <si>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</si>
  <si>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</si>
  <si>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</si>
  <si>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</si>
  <si>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</si>
  <si>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</si>
  <si>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</si>
  <si>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</si>
  <si>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</si>
  <si>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</si>
  <si>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</si>
  <si>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</si>
  <si>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</si>
  <si>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</si>
  <si>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</si>
  <si>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</si>
  <si>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</si>
  <si>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</si>
  <si>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</si>
  <si>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</si>
  <si>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</si>
  <si>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</si>
  <si>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</si>
  <si>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</si>
  <si>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</si>
  <si>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</si>
  <si>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</si>
  <si>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</si>
  <si>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</si>
  <si>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</si>
  <si>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</si>
  <si>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</si>
  <si>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</si>
  <si>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</si>
  <si>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</si>
  <si>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</si>
  <si>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</si>
  <si>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</si>
  <si>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</si>
  <si>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</si>
  <si>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</si>
  <si>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</si>
  <si>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</si>
  <si>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</si>
  <si>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</si>
  <si>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</si>
  <si>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</si>
  <si>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</si>
  <si>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</si>
  <si>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</si>
  <si>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</si>
  <si>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</si>
  <si>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</si>
  <si>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</si>
  <si>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</si>
  <si>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</si>
  <si>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</si>
  <si>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</si>
  <si>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</si>
  <si>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</si>
  <si>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</si>
  <si>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</si>
  <si>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</si>
  <si>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</si>
  <si>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</si>
  <si>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</si>
  <si>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</si>
  <si>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</si>
  <si>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</si>
  <si>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</si>
  <si>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</si>
  <si>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</si>
  <si>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</si>
  <si>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</si>
  <si>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</si>
  <si>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</si>
  <si>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</si>
  <si>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</si>
  <si>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</si>
  <si>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</si>
  <si>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</si>
  <si>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</si>
  <si>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</si>
  <si>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</si>
  <si>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</si>
  <si>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</si>
  <si>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</si>
  <si>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</si>
  <si>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</si>
  <si>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</si>
  <si>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</si>
  <si>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</si>
  <si>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</si>
  <si>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</si>
  <si>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</si>
  <si>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</si>
  <si>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</si>
  <si>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</si>
  <si>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</si>
  <si>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</si>
  <si>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</si>
  <si>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</si>
  <si>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</si>
  <si>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</si>
  <si>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</si>
  <si>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</si>
  <si>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</si>
  <si>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</si>
  <si>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</si>
  <si>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</si>
  <si>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</si>
  <si>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</si>
  <si>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</si>
  <si>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</si>
  <si>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</si>
  <si>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</si>
  <si>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</si>
  <si>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</si>
  <si>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</si>
  <si>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</si>
  <si>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</si>
  <si>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</si>
  <si>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</si>
  <si>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</si>
  <si>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</si>
  <si>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</si>
  <si>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</si>
  <si>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</si>
  <si>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</si>
  <si>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</si>
  <si>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</si>
  <si>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</si>
  <si>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</si>
  <si>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</si>
  <si>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</si>
  <si>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</si>
  <si>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</si>
  <si>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</si>
  <si>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</si>
  <si>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</si>
  <si>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</si>
  <si>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</si>
  <si>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</si>
  <si>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</si>
  <si>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</si>
  <si>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</si>
  <si>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</si>
  <si>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</si>
  <si>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</si>
  <si>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</si>
  <si>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</si>
  <si>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</si>
  <si>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</si>
  <si>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</si>
  <si>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</si>
  <si>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</si>
  <si>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</si>
  <si>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</si>
  <si>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</si>
  <si>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</si>
  <si>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</si>
  <si>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</si>
  <si>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</si>
  <si>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</si>
  <si>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</si>
  <si>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</si>
  <si>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</si>
  <si>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</si>
  <si>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</si>
  <si>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</si>
  <si>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</si>
  <si>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</si>
  <si>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</si>
  <si>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</si>
  <si>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</si>
  <si>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</si>
  <si>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</si>
  <si>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</si>
  <si>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</si>
  <si>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</si>
  <si>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</si>
  <si>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</si>
  <si>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</si>
  <si>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</si>
  <si>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</si>
  <si>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</si>
  <si>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</si>
  <si>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</si>
  <si>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</si>
  <si>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</si>
  <si>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</si>
  <si>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</si>
  <si>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</si>
  <si>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</si>
  <si>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</si>
  <si>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</si>
  <si>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</si>
  <si>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</si>
  <si>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</si>
  <si>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</si>
  <si>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</si>
  <si>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</si>
  <si>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</si>
  <si>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</si>
  <si>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</si>
  <si>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</si>
  <si>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</si>
  <si>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</si>
  <si>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</si>
  <si>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</si>
  <si>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</si>
  <si>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</si>
  <si>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</si>
  <si>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</si>
  <si>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</si>
  <si>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</si>
  <si>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</si>
  <si>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</si>
  <si>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</si>
  <si>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</si>
  <si>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</si>
  <si>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</si>
  <si>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</si>
  <si>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</si>
  <si>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</si>
  <si>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</si>
  <si>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</si>
  <si>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</si>
  <si>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</si>
  <si>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</si>
  <si>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</si>
  <si>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</si>
  <si>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</si>
  <si>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</si>
  <si>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</si>
  <si>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</si>
  <si>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</si>
  <si>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</si>
  <si>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</si>
  <si>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</si>
  <si>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</si>
  <si>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</si>
  <si>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</si>
  <si>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</si>
  <si>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</si>
  <si>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</si>
  <si>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</si>
  <si>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</si>
  <si>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</si>
  <si>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</si>
  <si>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</si>
  <si>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</si>
  <si>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</si>
  <si>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</si>
  <si>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</si>
  <si>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</si>
  <si>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</si>
  <si>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</si>
  <si>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</si>
  <si>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</si>
  <si>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</si>
  <si>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</si>
  <si>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</si>
  <si>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</si>
  <si>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</si>
  <si>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</si>
  <si>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</si>
  <si>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</si>
  <si>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</si>
  <si>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</si>
  <si>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</si>
  <si>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</si>
  <si>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</si>
  <si>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</si>
  <si>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</si>
  <si>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</si>
  <si>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</si>
  <si>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</si>
  <si>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</si>
  <si>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</si>
  <si>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</si>
  <si>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</si>
  <si>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</si>
  <si>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</si>
  <si>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</si>
  <si>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</si>
  <si>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</si>
  <si>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</si>
  <si>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</si>
  <si>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</si>
  <si>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</si>
  <si>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</si>
  <si>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</si>
  <si>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</si>
  <si>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</si>
  <si>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</si>
  <si>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</si>
  <si>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</si>
  <si>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</si>
  <si>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</si>
  <si>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</si>
  <si>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</si>
  <si>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</si>
  <si>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</si>
  <si>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</si>
  <si>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</si>
  <si>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</si>
  <si>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</si>
  <si>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</si>
  <si>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</si>
  <si>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</si>
  <si>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</si>
  <si>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</si>
  <si>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</si>
  <si>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</si>
  <si>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</si>
  <si>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</si>
  <si>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</si>
  <si>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</si>
  <si>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</si>
  <si>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</si>
  <si>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</si>
  <si>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</si>
  <si>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</si>
  <si>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</si>
  <si>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</si>
  <si>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</si>
  <si>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</si>
  <si>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</si>
  <si>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</si>
  <si>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</si>
  <si>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</si>
  <si>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</si>
  <si>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</si>
  <si>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</si>
  <si>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</si>
  <si>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</si>
  <si>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</si>
  <si>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</si>
  <si>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</si>
  <si>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</si>
  <si>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</si>
  <si>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</si>
  <si>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</si>
  <si>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</si>
  <si>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</si>
  <si>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</si>
  <si>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</si>
  <si>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</si>
  <si>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</si>
  <si>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</si>
  <si>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</si>
  <si>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</si>
  <si>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</si>
  <si>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</si>
  <si>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</si>
  <si>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</si>
  <si>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</si>
  <si>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</si>
  <si>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</si>
  <si>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</si>
  <si>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</si>
  <si>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</si>
  <si>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</si>
  <si>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</si>
  <si>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</si>
  <si>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</si>
  <si>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</si>
  <si>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</si>
  <si>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</si>
  <si>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</si>
  <si>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</si>
  <si>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</si>
  <si>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</si>
  <si>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</si>
  <si>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</si>
  <si>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</si>
  <si>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</si>
  <si>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</si>
  <si>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</si>
  <si>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</si>
  <si>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</si>
  <si>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</si>
  <si>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</si>
  <si>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</si>
  <si>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</si>
  <si>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</si>
  <si>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</si>
  <si>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</si>
  <si>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</si>
  <si>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</si>
  <si>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</si>
  <si>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</si>
  <si>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</si>
  <si>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</si>
  <si>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</si>
  <si>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</si>
  <si>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</si>
  <si>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</si>
  <si>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</si>
  <si>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</si>
  <si>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</si>
  <si>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</si>
  <si>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</si>
  <si>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</si>
  <si>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</si>
  <si>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</si>
  <si>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</si>
  <si>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</si>
  <si>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</si>
  <si>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</si>
  <si>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</si>
  <si>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</si>
  <si>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</si>
  <si>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</si>
  <si>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</si>
  <si>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</si>
  <si>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</si>
  <si>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</si>
  <si>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</si>
  <si>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</si>
  <si>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</si>
  <si>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</si>
  <si>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</si>
  <si>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</si>
  <si>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</si>
  <si>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</si>
  <si>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</si>
  <si>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</si>
  <si>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</si>
  <si>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</si>
  <si>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</si>
  <si>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</si>
  <si>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</si>
  <si>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</si>
  <si>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</si>
  <si>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</si>
  <si>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</si>
  <si>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</si>
  <si>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</si>
  <si>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</si>
  <si>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</si>
  <si>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</si>
  <si>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</si>
  <si>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</si>
  <si>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</si>
  <si>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</si>
  <si>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</si>
  <si>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</si>
  <si>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</si>
  <si>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</si>
  <si>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</si>
  <si>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</si>
  <si>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</si>
  <si>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</si>
  <si>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</si>
  <si>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</si>
  <si>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</si>
  <si>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</si>
  <si>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</si>
  <si>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</si>
  <si>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</si>
  <si>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</si>
  <si>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</si>
  <si>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</si>
  <si>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</si>
  <si>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</si>
  <si>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</si>
  <si>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</si>
  <si>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</si>
  <si>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</si>
  <si>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</si>
  <si>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</si>
  <si>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</si>
  <si>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</si>
  <si>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</si>
  <si>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</si>
  <si>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</si>
  <si>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</si>
  <si>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</si>
  <si>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</si>
  <si>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</si>
  <si>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</si>
  <si>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</si>
  <si>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</si>
  <si>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</si>
  <si>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</si>
  <si>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</si>
  <si>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</si>
  <si>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</si>
  <si>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</si>
  <si>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</si>
  <si>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</si>
  <si>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</si>
  <si>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</si>
  <si>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</si>
  <si>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</si>
  <si>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</si>
  <si>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</si>
  <si>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</si>
  <si>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</si>
  <si>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</si>
  <si>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</si>
  <si>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</si>
  <si>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</si>
  <si>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</si>
  <si>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</si>
  <si>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</si>
  <si>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</si>
  <si>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</si>
  <si>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</si>
  <si>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</si>
  <si>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</si>
  <si>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</si>
  <si>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</si>
  <si>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</si>
  <si>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</si>
  <si>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</si>
  <si>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</si>
  <si>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</si>
  <si>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</si>
  <si>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</si>
  <si>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</si>
  <si>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</si>
  <si>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</si>
  <si>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</si>
  <si>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</si>
  <si>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</si>
  <si>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</si>
  <si>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</si>
  <si>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</si>
  <si>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</si>
  <si>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</si>
  <si>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</si>
  <si>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</si>
  <si>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</si>
  <si>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</si>
  <si>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</si>
  <si>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</si>
  <si>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</si>
  <si>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</si>
  <si>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</si>
  <si>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</si>
  <si>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</si>
  <si>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</si>
  <si>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</si>
  <si>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</si>
  <si>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</si>
  <si>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</si>
  <si>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</si>
  <si>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</si>
  <si>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</si>
  <si>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</si>
  <si>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</si>
  <si>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</si>
  <si>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</si>
  <si>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</si>
  <si>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</si>
  <si>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</si>
  <si>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</si>
  <si>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</si>
  <si>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</si>
  <si>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</si>
  <si>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</si>
  <si>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</si>
  <si>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</si>
  <si>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</si>
  <si>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</si>
  <si>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</si>
  <si>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</si>
  <si>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</si>
  <si>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</si>
  <si>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</si>
  <si>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</si>
  <si>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</si>
  <si>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</si>
  <si>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</si>
  <si>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</si>
  <si>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</si>
  <si>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</si>
  <si>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</si>
  <si>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</si>
  <si>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</si>
  <si>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</si>
  <si>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</si>
  <si>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</si>
  <si>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</si>
  <si>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</si>
  <si>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</si>
  <si>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</si>
  <si>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</si>
  <si>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</si>
  <si>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</si>
  <si>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</si>
  <si>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</si>
  <si>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</si>
  <si>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</si>
  <si>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</si>
  <si>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</si>
  <si>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</si>
  <si>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</si>
  <si>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</si>
  <si>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</si>
  <si>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</si>
  <si>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</si>
  <si>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</si>
  <si>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</si>
  <si>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</si>
  <si>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</si>
  <si>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</si>
  <si>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</si>
  <si>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</si>
  <si>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</si>
  <si>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</si>
  <si>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</si>
  <si>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</si>
  <si>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</si>
  <si>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</si>
  <si>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</si>
  <si>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</si>
  <si>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</si>
  <si>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</si>
  <si>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</si>
  <si>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</si>
  <si>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</si>
  <si>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</si>
  <si>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</si>
  <si>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</si>
  <si>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</si>
  <si>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</si>
  <si>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</si>
  <si>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</si>
  <si>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</si>
  <si>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</si>
  <si>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</si>
  <si>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</si>
  <si>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</si>
  <si>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</si>
  <si>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</si>
  <si>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</si>
  <si>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</si>
  <si>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</si>
  <si>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</si>
  <si>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</si>
  <si>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</si>
  <si>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</si>
  <si>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</si>
  <si>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</si>
  <si>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</si>
  <si>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</si>
  <si>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</si>
  <si>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</si>
  <si>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</si>
  <si>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</si>
  <si>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</si>
  <si>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</si>
  <si>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</si>
  <si>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</si>
  <si>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</si>
  <si>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</si>
  <si>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</si>
  <si>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</si>
  <si>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</si>
  <si>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</si>
  <si>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</si>
  <si>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</si>
  <si>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</si>
  <si>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</si>
  <si>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</si>
  <si>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</si>
  <si>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</si>
  <si>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</si>
  <si>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</si>
  <si>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</si>
  <si>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</si>
  <si>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</si>
  <si>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</si>
  <si>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</si>
  <si>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</si>
  <si>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</si>
  <si>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</si>
  <si>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</si>
  <si>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</si>
  <si>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</si>
  <si>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</si>
  <si>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</si>
  <si>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</si>
  <si>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</si>
  <si>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</si>
  <si>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</si>
  <si>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</si>
  <si>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</si>
  <si>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</si>
  <si>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</si>
  <si>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</si>
  <si>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</si>
  <si>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</si>
  <si>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</si>
  <si>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</si>
  <si>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</si>
  <si>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</si>
  <si>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</si>
  <si>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</si>
  <si>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</si>
  <si>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</si>
  <si>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</si>
  <si>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</si>
  <si>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</si>
  <si>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</si>
  <si>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</si>
  <si>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</si>
  <si>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</si>
  <si>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</si>
  <si>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</si>
  <si>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</si>
  <si>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</si>
  <si>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</si>
  <si>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</si>
  <si>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</si>
  <si>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</si>
  <si>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</si>
  <si>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</si>
  <si>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</si>
  <si>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</si>
  <si>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</si>
  <si>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</si>
  <si>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</si>
  <si>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</si>
  <si>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</si>
  <si>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</si>
  <si>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</si>
  <si>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</si>
  <si>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</si>
  <si>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</si>
  <si>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</si>
  <si>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</si>
  <si>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</si>
  <si>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</si>
  <si>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</si>
  <si>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</si>
  <si>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</si>
  <si>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</si>
  <si>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</si>
  <si>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</si>
  <si>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</si>
  <si>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</si>
  <si>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</si>
  <si>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</si>
  <si>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</si>
  <si>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</si>
  <si>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</si>
  <si>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</si>
  <si>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</si>
  <si>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</si>
  <si>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</si>
  <si>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</si>
  <si>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</si>
  <si>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</si>
  <si>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</si>
  <si>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</si>
  <si>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</si>
  <si>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</si>
  <si>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</si>
  <si>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</si>
  <si>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</si>
  <si>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</si>
  <si>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</si>
  <si>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</si>
  <si>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</si>
  <si>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</si>
  <si>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</si>
  <si>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</si>
  <si>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</si>
  <si>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</si>
  <si>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</si>
  <si>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</si>
  <si>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</si>
  <si>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</si>
  <si>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</si>
  <si>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</si>
  <si>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</si>
  <si>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</si>
  <si>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</si>
  <si>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</si>
  <si>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</si>
  <si>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</si>
  <si>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</si>
  <si>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</si>
  <si>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</si>
  <si>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</si>
  <si>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</si>
  <si>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</si>
  <si>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</si>
  <si>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</si>
  <si>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</si>
  <si>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</si>
  <si>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</si>
  <si>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</si>
  <si>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</si>
  <si>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</si>
  <si>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</si>
  <si>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</si>
  <si>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</si>
  <si>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</si>
  <si>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</si>
  <si>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</si>
  <si>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</si>
  <si>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</si>
  <si>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</si>
  <si>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</si>
  <si>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</si>
  <si>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</si>
  <si>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</si>
  <si>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</si>
  <si>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</si>
  <si>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</si>
  <si>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</si>
  <si>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</si>
  <si>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</si>
  <si>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</si>
  <si>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</si>
  <si>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</si>
  <si>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</si>
  <si>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</si>
  <si>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</si>
  <si>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</si>
  <si>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</si>
  <si>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</si>
  <si>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</si>
  <si>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</si>
  <si>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</si>
  <si>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</si>
  <si>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</si>
  <si>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</si>
  <si>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</si>
  <si>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</si>
  <si>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</si>
  <si>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</si>
  <si>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</si>
  <si>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</si>
  <si>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</si>
  <si>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</si>
  <si>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</si>
  <si>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</si>
  <si>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</si>
  <si>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</si>
  <si>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</si>
  <si>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</si>
  <si>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</si>
  <si>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</si>
  <si>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</si>
  <si>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</si>
  <si>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</si>
  <si>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</si>
  <si>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</si>
  <si>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</si>
  <si>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</si>
  <si>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</si>
  <si>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</si>
  <si>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</si>
  <si>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</si>
  <si>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</si>
  <si>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</si>
  <si>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</si>
  <si>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</si>
  <si>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</si>
  <si>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</si>
  <si>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</si>
  <si>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</si>
  <si>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</si>
  <si>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</si>
  <si>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</si>
  <si>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</si>
  <si>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</si>
  <si>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</si>
  <si>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</si>
  <si>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</si>
  <si>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</si>
  <si>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</si>
  <si>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</si>
  <si>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</si>
  <si>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</si>
  <si>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</si>
  <si>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</si>
  <si>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</si>
  <si>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</si>
  <si>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</si>
  <si>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</si>
  <si>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</si>
  <si>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</si>
  <si>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</si>
  <si>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</si>
  <si>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</si>
  <si>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</si>
  <si>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</si>
  <si>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</si>
  <si>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</si>
  <si>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</si>
  <si>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</si>
  <si>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</si>
  <si>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</si>
  <si>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</si>
  <si>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</si>
  <si>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</si>
  <si>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</si>
  <si>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</si>
  <si>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</si>
  <si>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</si>
  <si>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</si>
  <si>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</si>
  <si>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</si>
  <si>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</si>
  <si>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</si>
  <si>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</si>
  <si>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</si>
  <si>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</si>
  <si>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</si>
  <si>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</si>
  <si>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</si>
  <si>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</si>
  <si>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</si>
  <si>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</si>
  <si>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</si>
  <si>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</si>
  <si>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</si>
  <si>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</si>
  <si>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</si>
  <si>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</si>
  <si>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</si>
  <si>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</si>
  <si>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</si>
  <si>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</si>
  <si>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</si>
  <si>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</si>
  <si>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</si>
  <si>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</si>
  <si>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</si>
  <si>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</si>
  <si>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</si>
  <si>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</si>
  <si>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</si>
  <si>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</si>
  <si>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</si>
  <si>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</si>
  <si>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</si>
  <si>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</si>
  <si>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</si>
  <si>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</si>
  <si>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</si>
  <si>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</si>
  <si>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</si>
  <si>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</si>
  <si>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</si>
  <si>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</si>
  <si>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</si>
  <si>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</si>
  <si>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</si>
  <si>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</si>
  <si>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</si>
  <si>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</si>
  <si>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</si>
  <si>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</si>
  <si>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</si>
  <si>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</si>
  <si>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</si>
  <si>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</si>
  <si>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</si>
  <si>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</si>
  <si>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</si>
  <si>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</si>
  <si>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</si>
  <si>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</si>
  <si>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</si>
  <si>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</si>
  <si>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</si>
  <si>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</si>
  <si>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</si>
  <si>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</si>
  <si>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</si>
  <si>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</si>
  <si>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</si>
  <si>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</si>
  <si>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</si>
  <si>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</si>
  <si>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</si>
  <si>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</si>
  <si>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</si>
  <si>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</si>
  <si>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</si>
  <si>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</si>
  <si>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</si>
  <si>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</si>
  <si>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</si>
  <si>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</si>
  <si>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</si>
  <si>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</si>
  <si>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</si>
  <si>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</si>
  <si>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</si>
  <si>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</si>
  <si>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</si>
  <si>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</si>
  <si>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</si>
  <si>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</si>
  <si>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</si>
  <si>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</si>
  <si>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</si>
  <si>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</si>
  <si>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</si>
  <si>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</si>
  <si>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</si>
  <si>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</si>
  <si>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</si>
  <si>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</si>
  <si>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</si>
  <si>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</si>
  <si>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</si>
  <si>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</si>
  <si>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</si>
  <si>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</si>
  <si>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</si>
  <si>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</si>
  <si>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</si>
  <si>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</si>
  <si>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</si>
  <si>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</si>
  <si>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</si>
  <si>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</si>
  <si>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</si>
  <si>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</si>
  <si>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</si>
  <si>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</si>
  <si>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</si>
  <si>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</si>
  <si>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</si>
  <si>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</si>
  <si>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</si>
  <si>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</si>
  <si>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</si>
  <si>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</si>
  <si>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</si>
  <si>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</si>
  <si>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</si>
  <si>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</si>
  <si>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</si>
  <si>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</si>
  <si>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</si>
  <si>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</si>
  <si>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</si>
  <si>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</si>
  <si>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</si>
  <si>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</si>
  <si>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</si>
  <si>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</si>
  <si>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</si>
  <si>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</si>
  <si>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</si>
  <si>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</si>
  <si>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</si>
  <si>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</si>
  <si>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</si>
  <si>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</si>
  <si>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</si>
  <si>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</si>
  <si>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</si>
  <si>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</si>
  <si>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</si>
  <si>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</si>
  <si>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</si>
  <si>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</si>
  <si>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</si>
  <si>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</si>
  <si>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</si>
  <si>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</si>
  <si>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</si>
  <si>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</si>
  <si>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</si>
  <si>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</si>
  <si>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</si>
  <si>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</si>
  <si>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</si>
  <si>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</si>
  <si>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</si>
  <si>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</si>
  <si>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</si>
  <si>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</si>
  <si>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</si>
  <si>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</si>
  <si>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</si>
  <si>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</si>
  <si>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</si>
  <si>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</si>
  <si>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</si>
  <si>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</si>
  <si>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</si>
  <si>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</si>
  <si>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</si>
  <si>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</si>
  <si>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</si>
  <si>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</si>
  <si>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</si>
  <si>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</si>
  <si>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</si>
  <si>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</si>
  <si>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</si>
  <si>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</si>
  <si>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</si>
  <si>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</si>
  <si>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</si>
  <si>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</si>
  <si>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</si>
  <si>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</si>
  <si>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</si>
  <si>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</si>
  <si>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</si>
  <si>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</si>
  <si>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</si>
  <si>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</si>
  <si>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</si>
  <si>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</si>
  <si>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</si>
  <si>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</si>
  <si>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</si>
  <si>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</si>
  <si>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</si>
  <si>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</si>
  <si>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</si>
  <si>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</si>
  <si>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</si>
  <si>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</si>
  <si>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</si>
  <si>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</si>
  <si>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</si>
  <si>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</si>
  <si>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</si>
  <si>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</si>
  <si>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</si>
  <si>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</si>
  <si>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</si>
  <si>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</si>
  <si>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</si>
  <si>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</si>
  <si>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</si>
  <si>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</si>
  <si>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</si>
  <si>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</si>
  <si>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</si>
  <si>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</si>
  <si>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</si>
  <si>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</si>
  <si>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</si>
  <si>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</si>
  <si>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</si>
  <si>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</si>
  <si>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</si>
  <si>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</si>
  <si>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</si>
  <si>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</si>
  <si>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</si>
  <si>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</si>
  <si>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</si>
  <si>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</si>
  <si>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</si>
  <si>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</si>
  <si>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</si>
  <si>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</si>
  <si>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</si>
  <si>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</si>
  <si>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</si>
  <si>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</si>
  <si>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</si>
  <si>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</si>
  <si>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</si>
  <si>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</si>
  <si>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</si>
  <si>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</si>
  <si>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</si>
  <si>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</si>
  <si>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</si>
  <si>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</si>
  <si>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</si>
  <si>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</si>
  <si>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</si>
  <si>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</si>
  <si>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</si>
  <si>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</si>
  <si>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</si>
  <si>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</si>
  <si>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</si>
  <si>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</si>
  <si>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</si>
  <si>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</si>
  <si>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</si>
  <si>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</si>
  <si>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</si>
  <si>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</si>
  <si>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</si>
  <si>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</si>
  <si>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</si>
  <si>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</si>
  <si>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</si>
  <si>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</si>
  <si>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</si>
  <si>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</si>
  <si>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</si>
  <si>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</si>
  <si>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</si>
  <si>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</si>
  <si>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</si>
  <si>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</si>
  <si>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</si>
  <si>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</si>
  <si>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</si>
  <si>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</si>
  <si>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</si>
  <si>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</si>
  <si>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</si>
  <si>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</si>
  <si>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</si>
  <si>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</si>
  <si>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</si>
  <si>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</si>
  <si>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</si>
  <si>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</si>
  <si>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</si>
  <si>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</si>
  <si>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</si>
  <si>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</si>
  <si>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</si>
  <si>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</si>
  <si>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</si>
  <si>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</si>
  <si>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</si>
  <si>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</si>
  <si>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</si>
  <si>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</si>
  <si>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</si>
  <si>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</si>
  <si>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</si>
  <si>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</si>
  <si>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</si>
  <si>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</si>
  <si>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</si>
  <si>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</si>
  <si>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</si>
  <si>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</si>
  <si>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</si>
  <si>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</si>
  <si>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</si>
  <si>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</si>
  <si>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</si>
  <si>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</si>
  <si>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</si>
  <si>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</si>
  <si>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</si>
  <si>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</si>
  <si>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</si>
  <si>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</si>
  <si>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</si>
  <si>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</si>
  <si>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</si>
  <si>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</si>
  <si>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</si>
  <si>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</si>
  <si>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</si>
  <si>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</si>
  <si>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</si>
  <si>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</si>
  <si>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</si>
  <si>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</si>
  <si>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</si>
  <si>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</si>
  <si>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</si>
  <si>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</si>
  <si>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</si>
  <si>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</si>
  <si>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</si>
  <si>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</si>
  <si>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</si>
  <si>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</si>
  <si>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</si>
  <si>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</si>
  <si>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</si>
  <si>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</si>
  <si>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</si>
  <si>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</si>
  <si>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</si>
  <si>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</si>
  <si>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</si>
  <si>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</si>
  <si>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</si>
  <si>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</si>
  <si>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</si>
  <si>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</si>
  <si>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</si>
  <si>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</si>
  <si>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</si>
  <si>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</si>
  <si>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</si>
  <si>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</si>
  <si>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</si>
  <si>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</si>
  <si>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</si>
  <si>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</si>
  <si>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</si>
  <si>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</si>
  <si>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</si>
  <si>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</si>
  <si>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</si>
  <si>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</si>
  <si>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</si>
  <si>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</si>
  <si>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</si>
  <si>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</si>
  <si>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</si>
  <si>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</si>
  <si>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</si>
  <si>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</si>
  <si>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</si>
  <si>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</si>
  <si>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</si>
  <si>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</si>
  <si>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</si>
  <si>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</si>
  <si>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</si>
  <si>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</si>
  <si>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</si>
  <si>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</si>
  <si>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</si>
  <si>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</si>
  <si>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</si>
  <si>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</si>
  <si>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</si>
  <si>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</si>
  <si>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</si>
  <si>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</si>
  <si>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</si>
  <si>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</si>
  <si>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</si>
  <si>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</si>
  <si>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</si>
  <si>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</si>
  <si>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</si>
  <si>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</si>
  <si>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</si>
  <si>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</si>
  <si>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</si>
  <si>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</si>
  <si>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</si>
  <si>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</si>
  <si>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</si>
  <si>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</si>
  <si>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</si>
  <si>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</si>
  <si>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</si>
  <si>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</si>
  <si>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</si>
  <si>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</si>
  <si>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</si>
  <si>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</si>
  <si>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</si>
  <si>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</si>
  <si>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</si>
  <si>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</si>
  <si>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</si>
  <si>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</si>
  <si>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</si>
  <si>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</si>
  <si>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</si>
  <si>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</si>
  <si>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</si>
  <si>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</si>
  <si>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</si>
  <si>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</si>
  <si>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</si>
  <si>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</si>
  <si>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</si>
  <si>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</si>
  <si>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</si>
  <si>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</si>
  <si>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</si>
  <si>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</si>
  <si>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</si>
  <si>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</si>
  <si>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</si>
  <si>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</si>
  <si>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</si>
  <si>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</si>
  <si>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</si>
  <si>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</si>
  <si>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</si>
  <si>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</si>
  <si>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</si>
  <si>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</si>
  <si>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</si>
  <si>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</si>
  <si>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</si>
  <si>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</si>
  <si>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</si>
  <si>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</si>
  <si>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</si>
  <si>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</si>
  <si>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</si>
  <si>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</si>
  <si>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</si>
  <si>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</si>
  <si>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</si>
  <si>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</si>
  <si>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</si>
  <si>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</si>
  <si>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</si>
  <si>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</si>
  <si>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</si>
  <si>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</si>
  <si>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</si>
  <si>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</si>
  <si>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</si>
  <si>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</si>
  <si>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</si>
  <si>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</si>
  <si>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</si>
  <si>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</si>
  <si>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</si>
  <si>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</si>
  <si>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</si>
  <si>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</si>
  <si>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</si>
  <si>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</si>
  <si>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</si>
  <si>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</si>
  <si>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</si>
  <si>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</si>
  <si>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</si>
  <si>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</si>
  <si>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</si>
  <si>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</si>
  <si>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</si>
  <si>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</si>
  <si>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</si>
  <si>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</si>
  <si>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</si>
  <si>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</si>
  <si>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</si>
  <si>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</si>
  <si>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</si>
  <si>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</si>
  <si>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</si>
  <si>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</si>
  <si>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</si>
  <si>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</si>
  <si>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</si>
  <si>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</si>
  <si>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</si>
  <si>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</si>
  <si>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</si>
  <si>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</si>
  <si>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</si>
  <si>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</si>
  <si>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</si>
  <si>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</si>
  <si>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</si>
  <si>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</si>
  <si>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</si>
  <si>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</si>
  <si>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</si>
  <si>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</si>
  <si>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</si>
  <si>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</si>
  <si>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</si>
  <si>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</si>
  <si>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</si>
  <si>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</si>
  <si>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</si>
  <si>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</si>
  <si>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</si>
  <si>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</si>
  <si>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</si>
  <si>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</si>
  <si>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</si>
  <si>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</si>
  <si>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</si>
  <si>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</si>
  <si>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</si>
  <si>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</si>
  <si>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</si>
  <si>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</si>
  <si>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</si>
  <si>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</si>
  <si>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</si>
  <si>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</si>
  <si>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</si>
  <si>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</si>
  <si>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</si>
  <si>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</si>
  <si>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</si>
  <si>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</si>
  <si>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</si>
  <si>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</si>
  <si>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</si>
  <si>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</si>
  <si>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</si>
  <si>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</si>
  <si>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</si>
  <si>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</si>
  <si>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</si>
  <si>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</si>
  <si>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</si>
  <si>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</si>
  <si>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</si>
  <si>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</si>
  <si>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</si>
  <si>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</si>
  <si>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</si>
  <si>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</si>
  <si>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</si>
  <si>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</si>
  <si>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</si>
  <si>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</si>
  <si>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</si>
  <si>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</si>
  <si>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</si>
  <si>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</si>
  <si>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</si>
  <si>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</si>
  <si>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</si>
  <si>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</si>
  <si>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</si>
  <si>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</si>
  <si>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</si>
  <si>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</si>
  <si>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</si>
  <si>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</si>
  <si>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</si>
  <si>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</si>
  <si>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</si>
  <si>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</si>
  <si>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</si>
  <si>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</si>
  <si>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</si>
  <si>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</si>
  <si>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</si>
  <si>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</si>
  <si>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</si>
  <si>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</si>
  <si>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</si>
  <si>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</si>
  <si>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</si>
  <si>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</si>
  <si>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</si>
  <si>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</si>
  <si>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</si>
  <si>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</si>
  <si>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</si>
  <si>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</si>
  <si>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</si>
  <si>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</si>
  <si>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</si>
  <si>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</si>
  <si>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</si>
  <si>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</si>
  <si>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</si>
  <si>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</si>
  <si>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</si>
  <si>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</si>
  <si>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</si>
  <si>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</si>
  <si>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</si>
  <si>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</si>
  <si>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</si>
  <si>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</si>
  <si>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</si>
  <si>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</si>
  <si>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</si>
  <si>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</si>
  <si>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</si>
  <si>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</si>
  <si>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</si>
  <si>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</si>
  <si>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</si>
  <si>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</si>
  <si>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</si>
  <si>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</si>
  <si>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</si>
  <si>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</si>
  <si>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</si>
  <si>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</si>
  <si>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</si>
  <si>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</si>
  <si>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</si>
  <si>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</si>
  <si>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</si>
  <si>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</si>
  <si>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</si>
  <si>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</si>
  <si>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</si>
  <si>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</si>
  <si>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</si>
  <si>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</si>
  <si>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</si>
  <si>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</si>
  <si>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</si>
  <si>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</si>
  <si>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</si>
  <si>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</si>
  <si>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</si>
  <si>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</si>
  <si>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</si>
  <si>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</si>
  <si>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</si>
  <si>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</si>
  <si>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</si>
  <si>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</si>
  <si>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</si>
  <si>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</si>
  <si>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</si>
  <si>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</si>
  <si>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</si>
  <si>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</si>
  <si>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</si>
  <si>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</si>
  <si>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</si>
  <si>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</si>
  <si>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</si>
  <si>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</si>
  <si>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</si>
  <si>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</si>
  <si>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</si>
  <si>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</si>
  <si>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</si>
  <si>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</si>
  <si>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</si>
  <si>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</si>
  <si>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</si>
  <si>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</si>
  <si>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</si>
  <si>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</si>
  <si>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</si>
  <si>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</si>
  <si>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</si>
  <si>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</si>
  <si>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</si>
  <si>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</si>
  <si>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</si>
  <si>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</si>
  <si>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</si>
  <si>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</si>
  <si>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</si>
  <si>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</si>
  <si>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</si>
  <si>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</si>
  <si>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</si>
  <si>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</si>
  <si>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</si>
  <si>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</si>
  <si>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</si>
  <si>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</si>
  <si>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</si>
  <si>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</si>
  <si>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</si>
  <si>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</si>
  <si>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</si>
  <si>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</si>
  <si>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</si>
  <si>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</si>
  <si>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</si>
  <si>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</si>
  <si>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</si>
  <si>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</si>
  <si>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</si>
  <si>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</si>
  <si>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</si>
  <si>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</si>
  <si>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</si>
  <si>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</si>
  <si>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</si>
  <si>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</si>
  <si>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</si>
  <si>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</si>
  <si>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</si>
  <si>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</si>
  <si>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</si>
  <si>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</si>
  <si>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</si>
  <si>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</si>
  <si>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</si>
  <si>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</si>
  <si>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</si>
  <si>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</si>
  <si>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</si>
  <si>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</si>
  <si>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</si>
  <si>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</si>
  <si>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</si>
  <si>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</si>
  <si>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</si>
  <si>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</si>
  <si>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</si>
  <si>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</si>
  <si>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</si>
  <si>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</si>
  <si>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</si>
  <si>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</si>
  <si>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</si>
  <si>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</si>
  <si>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</si>
  <si>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</si>
  <si>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</si>
  <si>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</si>
  <si>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</si>
  <si>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</si>
  <si>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</si>
  <si>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</si>
  <si>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</si>
  <si>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</si>
  <si>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</si>
  <si>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</si>
  <si>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</si>
  <si>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</si>
  <si>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</si>
  <si>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</si>
  <si>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</si>
  <si>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</si>
  <si>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</si>
  <si>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</si>
  <si>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</si>
  <si>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</si>
  <si>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</si>
  <si>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</si>
  <si>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</si>
  <si>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</si>
  <si>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</si>
  <si>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</si>
  <si>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</si>
  <si>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</si>
  <si>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</si>
  <si>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</si>
  <si>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</si>
  <si>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</si>
  <si>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</si>
  <si>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</si>
  <si>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</si>
  <si>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</si>
  <si>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</si>
  <si>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</si>
  <si>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</si>
  <si>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</si>
  <si>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</si>
  <si>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</si>
  <si>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</si>
  <si>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</si>
  <si>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</si>
  <si>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</si>
  <si>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</si>
  <si>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</si>
  <si>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</si>
  <si>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</si>
  <si>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</si>
  <si>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</si>
  <si>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</si>
  <si>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</si>
  <si>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</si>
  <si>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</si>
  <si>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</si>
  <si>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</si>
  <si>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</si>
  <si>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</si>
  <si>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</si>
  <si>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</si>
  <si>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</si>
  <si>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</si>
  <si>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</si>
  <si>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</si>
  <si>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</si>
  <si>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</si>
  <si>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</si>
  <si>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</si>
  <si>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</si>
  <si>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</si>
  <si>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</si>
  <si>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</si>
  <si>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</si>
  <si>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</si>
  <si>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</si>
  <si>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</si>
  <si>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</si>
  <si>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</si>
  <si>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</si>
  <si>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</si>
  <si>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</si>
  <si>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</si>
  <si>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</si>
  <si>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</si>
  <si>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</si>
  <si>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</si>
  <si>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</si>
  <si>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</si>
  <si>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</si>
  <si>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</si>
  <si>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</si>
  <si>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</si>
  <si>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</si>
  <si>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</si>
  <si>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</si>
  <si>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</si>
  <si>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</si>
  <si>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</si>
  <si>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</si>
  <si>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</si>
  <si>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</si>
  <si>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</si>
  <si>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</si>
  <si>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</si>
  <si>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</si>
  <si>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</si>
  <si>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</si>
  <si>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</si>
  <si>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</si>
  <si>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</si>
  <si>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</si>
  <si>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</si>
  <si>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</si>
  <si>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</si>
  <si>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</si>
  <si>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</si>
  <si>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</si>
  <si>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</si>
  <si>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</si>
  <si>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</si>
  <si>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</si>
  <si>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</si>
  <si>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</si>
  <si>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</si>
  <si>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</si>
  <si>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</si>
  <si>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</si>
  <si>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</si>
  <si>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</si>
  <si>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</si>
  <si>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</si>
  <si>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</si>
  <si>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</si>
  <si>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</si>
  <si>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</si>
  <si>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</si>
  <si>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</si>
  <si>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</si>
  <si>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</si>
  <si>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</si>
  <si>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</si>
  <si>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</si>
  <si>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</si>
  <si>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</si>
  <si>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</si>
  <si>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</si>
  <si>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</si>
  <si>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</si>
  <si>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</si>
  <si>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</si>
  <si>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</si>
  <si>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</si>
  <si>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</si>
  <si>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</si>
  <si>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</si>
  <si>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</si>
  <si>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</si>
  <si>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</si>
  <si>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</si>
  <si>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</si>
  <si>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</si>
  <si>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</si>
  <si>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</si>
  <si>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</si>
  <si>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</si>
  <si>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</si>
  <si>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</si>
  <si>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</si>
  <si>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</si>
  <si>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</si>
  <si>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</si>
  <si>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</si>
  <si>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</si>
  <si>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</si>
  <si>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</si>
  <si>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</si>
  <si>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</si>
  <si>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</si>
  <si>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</si>
  <si>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</si>
  <si>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</si>
  <si>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</si>
  <si>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</si>
  <si>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</si>
  <si>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</si>
  <si>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</si>
  <si>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</si>
  <si>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</si>
  <si>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</si>
  <si>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</si>
  <si>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</si>
  <si>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</si>
  <si>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</si>
  <si>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</si>
  <si>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</si>
  <si>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</si>
  <si>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</si>
  <si>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</si>
  <si>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</si>
  <si>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</si>
  <si>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</si>
  <si>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</si>
  <si>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</si>
  <si>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</si>
  <si>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</si>
  <si>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</si>
  <si>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</si>
  <si>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</si>
  <si>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</si>
  <si>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</si>
  <si>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</si>
  <si>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</si>
  <si>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</si>
  <si>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</si>
  <si>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</si>
  <si>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</si>
  <si>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</si>
  <si>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</si>
  <si>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</si>
  <si>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</si>
  <si>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</si>
  <si>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</si>
  <si>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</si>
  <si>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</si>
  <si>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</si>
  <si>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</si>
  <si>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</si>
  <si>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</si>
  <si>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</si>
  <si>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</si>
  <si>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</si>
  <si>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</si>
  <si>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</si>
  <si>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</si>
  <si>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</si>
  <si>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</si>
  <si>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</si>
  <si>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</si>
  <si>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</si>
  <si>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</si>
  <si>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</si>
  <si>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</si>
  <si>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</si>
  <si>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</si>
  <si>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</si>
  <si>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</si>
  <si>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</si>
  <si>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</si>
  <si>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</si>
  <si>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</si>
  <si>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</si>
  <si>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</si>
  <si>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</si>
  <si>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</si>
  <si>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</si>
  <si>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</si>
  <si>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</si>
  <si>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</si>
  <si>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</si>
  <si>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</si>
  <si>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</si>
  <si>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</si>
  <si>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</si>
  <si>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</si>
  <si>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</si>
  <si>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</si>
  <si>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</si>
  <si>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</si>
  <si>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</si>
  <si>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</si>
  <si>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</si>
  <si>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</si>
  <si>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</si>
  <si>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</si>
  <si>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</si>
  <si>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</si>
  <si>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</si>
  <si>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</si>
  <si>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</si>
  <si>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</si>
  <si>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</si>
  <si>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</si>
  <si>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</si>
  <si>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</si>
  <si>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</si>
  <si>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</si>
  <si>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</si>
  <si>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</si>
  <si>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</si>
  <si>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</si>
  <si>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</si>
  <si>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</si>
  <si>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</si>
  <si>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</si>
  <si>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</si>
  <si>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</si>
  <si>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</si>
  <si>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</si>
  <si>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</si>
  <si>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</si>
  <si>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</si>
  <si>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</si>
  <si>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</si>
  <si>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</si>
  <si>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</si>
  <si>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</si>
  <si>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</si>
  <si>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</si>
  <si>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</si>
  <si>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</si>
  <si>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</si>
  <si>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</si>
  <si>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</si>
  <si>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</si>
  <si>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</si>
  <si>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</si>
  <si>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</si>
  <si>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</si>
  <si>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</si>
  <si>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</si>
  <si>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</si>
  <si>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</si>
  <si>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</si>
  <si>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</si>
  <si>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</si>
  <si>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</si>
  <si>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</si>
  <si>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</si>
  <si>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</si>
  <si>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</si>
  <si>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</si>
  <si>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</si>
  <si>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</si>
  <si>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</si>
  <si>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</si>
  <si>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</si>
  <si>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</si>
  <si>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</si>
  <si>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</si>
  <si>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</si>
  <si>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</si>
  <si>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</si>
  <si>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</si>
  <si>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</si>
  <si>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</si>
  <si>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</si>
  <si>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</si>
  <si>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</si>
  <si>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</si>
  <si>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</si>
  <si>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</si>
  <si>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</si>
  <si>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</si>
  <si>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</si>
  <si>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</si>
  <si>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</si>
  <si>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</si>
  <si>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</si>
  <si>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</si>
  <si>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</si>
  <si>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</si>
  <si>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</si>
  <si>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</si>
  <si>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</si>
  <si>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</si>
  <si>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</si>
  <si>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</si>
  <si>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</si>
  <si>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</si>
  <si>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</si>
  <si>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</si>
  <si>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</si>
  <si>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</si>
  <si>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</si>
  <si>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</si>
  <si>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</si>
  <si>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</si>
  <si>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</si>
  <si>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</si>
  <si>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</si>
  <si>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</si>
  <si>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</si>
  <si>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</si>
  <si>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</si>
  <si>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</si>
  <si>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</si>
  <si>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</si>
  <si>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</si>
  <si>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</si>
  <si>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</si>
  <si>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</si>
  <si>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</si>
  <si>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</si>
  <si>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</si>
  <si>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</si>
  <si>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</si>
  <si>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</si>
  <si>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</si>
  <si>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</si>
  <si>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</si>
  <si>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</si>
  <si>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</si>
  <si>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</si>
  <si>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</si>
  <si>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</si>
  <si>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</si>
  <si>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</si>
  <si>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</si>
  <si>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</si>
  <si>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</si>
  <si>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</si>
  <si>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</si>
  <si>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</si>
  <si>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</si>
  <si>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</si>
  <si>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</si>
  <si>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</si>
  <si>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</si>
  <si>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</si>
  <si>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</si>
  <si>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</si>
  <si>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</si>
  <si>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</si>
  <si>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</si>
  <si>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</si>
  <si>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</si>
  <si>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</si>
  <si>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</si>
  <si>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</si>
  <si>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</si>
  <si>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</si>
  <si>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</si>
  <si>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</si>
  <si>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</si>
  <si>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</si>
  <si>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</si>
  <si>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</si>
  <si>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</si>
  <si>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</si>
  <si>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</si>
  <si>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</si>
  <si>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</si>
  <si>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</si>
  <si>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</si>
  <si>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</si>
  <si>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</si>
  <si>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</si>
  <si>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</si>
  <si>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</si>
  <si>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</si>
  <si>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</si>
  <si>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</si>
  <si>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</si>
  <si>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</si>
  <si>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</si>
  <si>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</si>
  <si>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</si>
  <si>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</si>
  <si>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</si>
  <si>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</si>
  <si>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</si>
  <si>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</si>
  <si>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</si>
  <si>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</si>
  <si>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</si>
  <si>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</si>
  <si>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</si>
  <si>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</si>
  <si>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</si>
  <si>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</si>
  <si>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</si>
  <si>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</si>
  <si>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</si>
  <si>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</si>
  <si>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</si>
  <si>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</si>
  <si>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</si>
  <si>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</si>
  <si>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</si>
  <si>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</si>
  <si>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</si>
  <si>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</si>
  <si>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</si>
  <si>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</si>
  <si>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</si>
  <si>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</si>
  <si>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</si>
  <si>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</si>
  <si>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</si>
  <si>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</si>
  <si>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</si>
  <si>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</si>
  <si>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</si>
  <si>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</si>
  <si>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</si>
  <si>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</si>
  <si>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</si>
  <si>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</si>
  <si>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</si>
  <si>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</si>
  <si>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</si>
  <si>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</si>
  <si>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</si>
  <si>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</si>
  <si>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</si>
  <si>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</si>
  <si>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</si>
  <si>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</si>
  <si>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</si>
  <si>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</si>
  <si>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</si>
  <si>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</si>
  <si>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</si>
  <si>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</si>
  <si>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</si>
  <si>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</si>
  <si>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</si>
  <si>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</si>
  <si>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</si>
  <si>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</si>
  <si>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</si>
  <si>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</si>
  <si>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</si>
  <si>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</si>
  <si>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</si>
  <si>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</si>
  <si>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</si>
  <si>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</si>
  <si>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</si>
  <si>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</si>
  <si>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</si>
  <si>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</si>
  <si>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</si>
  <si>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</si>
  <si>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</si>
  <si>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</si>
  <si>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</si>
  <si>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</si>
  <si>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</si>
  <si>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</si>
  <si>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</si>
  <si>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</si>
  <si>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</si>
  <si>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</si>
  <si>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</si>
  <si>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</si>
  <si>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</si>
  <si>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</si>
  <si>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</si>
  <si>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</si>
  <si>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</si>
  <si>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</si>
  <si>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</si>
  <si>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</si>
  <si>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</si>
  <si>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</si>
  <si>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</si>
  <si>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</si>
  <si>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</si>
  <si>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</si>
  <si>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</si>
  <si>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</si>
  <si>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</si>
  <si>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</si>
  <si>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</si>
  <si>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</si>
  <si>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</si>
  <si>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</si>
  <si>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</si>
  <si>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</si>
  <si>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</si>
  <si>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</si>
  <si>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</si>
  <si>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</si>
  <si>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</si>
  <si>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</si>
  <si>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</si>
  <si>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</si>
  <si>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</si>
  <si>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</si>
  <si>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</si>
  <si>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</si>
  <si>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</si>
  <si>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</si>
  <si>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</si>
  <si>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</si>
  <si>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</si>
  <si>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</si>
  <si>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</si>
  <si>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</si>
  <si>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</si>
  <si>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</si>
  <si>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</si>
  <si>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</si>
  <si>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</si>
  <si>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</si>
  <si>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</si>
  <si>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</si>
  <si>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</si>
  <si>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</si>
  <si>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</si>
  <si>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</si>
  <si>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</si>
  <si>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</si>
  <si>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</si>
  <si>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</si>
  <si>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</si>
  <si>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</si>
  <si>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</si>
  <si>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</si>
  <si>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</si>
  <si>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</si>
  <si>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</si>
  <si>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</si>
  <si>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</si>
  <si>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</si>
  <si>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</si>
  <si>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</si>
  <si>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</si>
  <si>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</si>
  <si>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</si>
  <si>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</si>
  <si>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</si>
  <si>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</si>
  <si>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</si>
  <si>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</si>
  <si>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</si>
  <si>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</si>
  <si>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</si>
  <si>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</si>
  <si>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</si>
  <si>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</si>
  <si>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</si>
  <si>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</si>
  <si>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</si>
  <si>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</si>
  <si>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</si>
  <si>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</si>
  <si>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</si>
  <si>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</si>
  <si>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</si>
  <si>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</si>
  <si>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</si>
  <si>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</si>
  <si>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</si>
  <si>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</si>
  <si>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</si>
  <si>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</si>
  <si>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</si>
  <si>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</si>
  <si>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</si>
  <si>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</si>
  <si>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</si>
  <si>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</si>
  <si>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</si>
  <si>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</si>
  <si>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</si>
  <si>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</si>
  <si>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</si>
  <si>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</si>
  <si>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</si>
  <si>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</si>
  <si>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</si>
  <si>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</si>
  <si>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</si>
  <si>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</si>
  <si>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</si>
  <si>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</si>
  <si>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</si>
  <si>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</si>
  <si>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</si>
  <si>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</si>
  <si>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</si>
  <si>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</si>
  <si>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</si>
  <si>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</si>
  <si>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</si>
  <si>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</si>
  <si>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</si>
  <si>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</si>
  <si>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</si>
  <si>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</si>
  <si>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</si>
  <si>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</si>
  <si>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</si>
  <si>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</si>
  <si>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</si>
  <si>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</si>
  <si>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</si>
  <si>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</si>
  <si>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</si>
  <si>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</si>
  <si>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</si>
  <si>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</si>
  <si>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</si>
  <si>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</si>
  <si>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</si>
  <si>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</si>
  <si>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</si>
  <si>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</si>
  <si>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</si>
  <si>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</si>
  <si>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</si>
  <si>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</si>
  <si>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</si>
  <si>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</si>
  <si>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</si>
  <si>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</si>
  <si>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</si>
  <si>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</si>
  <si>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</si>
  <si>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</si>
  <si>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</si>
  <si>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</si>
  <si>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</si>
  <si>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</si>
  <si>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</si>
  <si>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</si>
  <si>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</si>
  <si>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</si>
  <si>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</si>
  <si>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</si>
  <si>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</si>
  <si>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</si>
  <si>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</si>
  <si>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</si>
  <si>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</si>
  <si>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</si>
  <si>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</si>
  <si>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</si>
  <si>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</si>
  <si>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</si>
  <si>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</si>
  <si>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</si>
  <si>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</si>
  <si>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</si>
  <si>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</si>
  <si>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</si>
  <si>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</si>
  <si>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</si>
  <si>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</si>
  <si>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</si>
  <si>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</si>
  <si>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</si>
  <si>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</si>
  <si>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</si>
  <si>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</si>
  <si>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</si>
  <si>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</si>
  <si>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</si>
  <si>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</si>
  <si>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</si>
  <si>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</si>
  <si>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</si>
  <si>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</si>
  <si>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</si>
  <si>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</si>
  <si>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</si>
  <si>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</si>
  <si>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</si>
  <si>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</si>
  <si>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</si>
  <si>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</si>
  <si>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</si>
  <si>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</si>
  <si>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</si>
  <si>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</si>
  <si>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</si>
  <si>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</si>
  <si>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</si>
  <si>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</si>
  <si>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</si>
  <si>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</si>
  <si>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</si>
  <si>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</si>
  <si>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</si>
  <si>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</si>
  <si>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</si>
  <si>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</si>
  <si>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</si>
  <si>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</si>
  <si>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</si>
  <si>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</si>
  <si>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</si>
  <si>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</si>
  <si>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</si>
  <si>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</si>
  <si>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</si>
  <si>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</si>
  <si>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</si>
  <si>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</si>
  <si>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</si>
  <si>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</si>
  <si>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</si>
  <si>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</si>
  <si>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</si>
  <si>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</si>
  <si>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</si>
  <si>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</si>
  <si>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</si>
  <si>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</si>
  <si>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</si>
  <si>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</si>
  <si>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</si>
  <si>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</si>
  <si>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</si>
  <si>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</si>
  <si>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</si>
  <si>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</si>
  <si>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</si>
  <si>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</si>
  <si>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</si>
  <si>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</si>
  <si>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</si>
  <si>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</si>
  <si>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</si>
  <si>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</si>
  <si>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</si>
  <si>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</si>
  <si>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</si>
  <si>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</si>
  <si>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</si>
  <si>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</si>
  <si>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</si>
  <si>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</si>
  <si>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</si>
  <si>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</si>
  <si>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</si>
  <si>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</si>
  <si>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</si>
  <si>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</si>
  <si>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</si>
  <si>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</si>
  <si>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</si>
  <si>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</si>
  <si>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</si>
  <si>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</si>
  <si>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</si>
  <si>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</si>
  <si>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</si>
  <si>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</si>
  <si>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</si>
  <si>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</si>
  <si>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</si>
  <si>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</si>
  <si>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</si>
  <si>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</si>
  <si>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</si>
  <si>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</si>
  <si>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</si>
  <si>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</si>
  <si>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</si>
  <si>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</si>
  <si>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</si>
  <si>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</si>
  <si>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</si>
  <si>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</si>
  <si>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</si>
  <si>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</si>
  <si>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</si>
  <si>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</si>
  <si>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</si>
  <si>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</si>
  <si>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</si>
  <si>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</si>
  <si>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</si>
  <si>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</si>
  <si>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</si>
  <si>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</si>
  <si>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</si>
  <si>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</si>
  <si>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</si>
  <si>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</si>
  <si>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</si>
  <si>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</si>
  <si>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</si>
  <si>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</si>
  <si>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</si>
  <si>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</si>
  <si>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</si>
  <si>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</si>
  <si>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</si>
  <si>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</si>
  <si>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</si>
  <si>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</si>
  <si>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</si>
  <si>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</si>
  <si>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</si>
  <si>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</si>
  <si>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</si>
  <si>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</si>
  <si>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</si>
  <si>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</si>
  <si>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</si>
  <si>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</si>
  <si>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</si>
  <si>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</si>
  <si>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</si>
  <si>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</si>
  <si>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</si>
  <si>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</si>
  <si>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</si>
  <si>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</si>
  <si>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</si>
  <si>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</si>
  <si>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</si>
  <si>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</si>
  <si>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</si>
  <si>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</si>
  <si>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</si>
  <si>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</si>
  <si>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</si>
  <si>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</si>
  <si>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</si>
  <si>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</si>
  <si>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</si>
  <si>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</si>
  <si>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</si>
  <si>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</si>
  <si>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</si>
  <si>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</si>
  <si>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</si>
  <si>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</si>
  <si>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</si>
  <si>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</si>
  <si>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</si>
  <si>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</si>
  <si>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</si>
  <si>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</si>
  <si>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</si>
  <si>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</si>
  <si>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</si>
  <si>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</si>
  <si>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</si>
  <si>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</si>
  <si>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</si>
  <si>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</si>
  <si>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</si>
  <si>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</si>
  <si>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</si>
  <si>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</si>
  <si>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</si>
  <si>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</si>
  <si>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</si>
  <si>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</si>
  <si>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</si>
  <si>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</si>
  <si>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</si>
  <si>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</si>
  <si>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</si>
  <si>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</si>
  <si>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</si>
  <si>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</si>
  <si>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</si>
  <si>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</si>
  <si>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</si>
  <si>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</si>
  <si>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</si>
  <si>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</si>
  <si>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</si>
  <si>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</si>
  <si>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</si>
  <si>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</si>
  <si>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</si>
  <si>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</si>
  <si>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</si>
  <si>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</si>
  <si>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</si>
  <si>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</si>
  <si>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</si>
  <si>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</si>
  <si>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</si>
  <si>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</si>
  <si>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</si>
  <si>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</si>
  <si>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</si>
  <si>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</si>
  <si>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</si>
  <si>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</si>
  <si>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</si>
  <si>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</si>
  <si>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</si>
  <si>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</si>
  <si>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</si>
  <si>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</si>
  <si>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</si>
  <si>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</si>
  <si>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</si>
  <si>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</si>
  <si>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</si>
  <si>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</si>
  <si>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</si>
  <si>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</si>
  <si>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</si>
  <si>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</si>
  <si>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</si>
  <si>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</si>
  <si>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</si>
  <si>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</si>
  <si>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</si>
  <si>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</si>
  <si>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</si>
  <si>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</si>
  <si>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</si>
  <si>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</si>
  <si>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</si>
  <si>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</si>
  <si>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</si>
  <si>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</si>
  <si>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</si>
  <si>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</si>
  <si>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</si>
  <si>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</si>
  <si>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</si>
  <si>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</si>
  <si>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</si>
  <si>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</si>
  <si>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</si>
  <si>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</si>
  <si>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</si>
  <si>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</si>
  <si>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</si>
  <si>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</si>
  <si>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</si>
  <si>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</si>
  <si>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</si>
  <si>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</si>
  <si>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</si>
  <si>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</si>
  <si>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</si>
  <si>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</si>
  <si>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</si>
  <si>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</si>
  <si>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</si>
  <si>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</si>
  <si>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</si>
  <si>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</si>
  <si>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</si>
  <si>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</si>
  <si>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</si>
  <si>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</si>
  <si>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</si>
  <si>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</si>
  <si>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</si>
  <si>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</si>
  <si>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</si>
  <si>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</si>
  <si>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</si>
  <si>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</si>
  <si>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</si>
  <si>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</si>
  <si>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</si>
  <si>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</si>
  <si>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</si>
  <si>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</si>
  <si>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</si>
  <si>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</si>
  <si>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</si>
  <si>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</si>
  <si>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</si>
  <si>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</si>
  <si>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</si>
  <si>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</si>
  <si>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</si>
  <si>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</si>
  <si>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</si>
  <si>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</si>
  <si>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</si>
  <si>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</si>
  <si>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</si>
  <si>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</si>
  <si>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</si>
  <si>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</si>
  <si>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</si>
  <si>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</si>
  <si>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</si>
  <si>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</si>
  <si>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</si>
  <si>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</si>
  <si>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</si>
  <si>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</si>
  <si>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</si>
  <si>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</si>
  <si>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</si>
  <si>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</si>
  <si>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</si>
  <si>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</si>
  <si>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</si>
  <si>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</si>
  <si>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</si>
  <si>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</si>
  <si>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</si>
  <si>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</si>
  <si>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</si>
  <si>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</si>
  <si>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</si>
  <si>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</si>
  <si>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</si>
  <si>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</si>
  <si>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</si>
  <si>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</si>
  <si>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</si>
  <si>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</si>
  <si>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</si>
  <si>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</si>
  <si>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</si>
  <si>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</si>
  <si>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</si>
  <si>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</si>
  <si>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</si>
  <si>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</si>
  <si>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</si>
  <si>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</si>
  <si>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</si>
  <si>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</si>
  <si>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</si>
  <si>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</si>
  <si>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</si>
  <si>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</si>
  <si>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</si>
  <si>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</si>
  <si>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</si>
  <si>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</si>
  <si>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</si>
  <si>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</si>
  <si>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</si>
  <si>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</si>
  <si>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</si>
  <si>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</si>
  <si>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</si>
  <si>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</si>
  <si>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</si>
  <si>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</si>
  <si>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</si>
  <si>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</si>
  <si>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</si>
  <si>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</si>
  <si>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</si>
  <si>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</si>
  <si>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</si>
  <si>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</si>
  <si>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</si>
  <si>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</si>
  <si>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</si>
  <si>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</si>
  <si>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</si>
  <si>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</si>
  <si>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</si>
  <si>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</si>
  <si>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</si>
  <si>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</si>
  <si>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</si>
  <si>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</si>
  <si>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</si>
  <si>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</si>
  <si>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</si>
  <si>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</si>
  <si>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</si>
  <si>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</si>
  <si>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</si>
  <si>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</si>
  <si>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</si>
  <si>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</si>
  <si>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</si>
  <si>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</si>
  <si>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</si>
  <si>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</si>
  <si>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</si>
  <si>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</si>
  <si>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</si>
  <si>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</si>
  <si>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</si>
  <si>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</si>
  <si>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</si>
  <si>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</si>
  <si>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</si>
  <si>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</si>
  <si>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</si>
  <si>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</si>
  <si>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</si>
  <si>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</si>
  <si>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</si>
  <si>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</si>
  <si>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</si>
  <si>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</si>
  <si>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</si>
  <si>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</si>
  <si>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</si>
  <si>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</si>
  <si>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</si>
  <si>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</si>
  <si>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</si>
  <si>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</si>
  <si>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</si>
  <si>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</si>
  <si>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</si>
  <si>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</si>
  <si>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</si>
  <si>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</si>
  <si>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</si>
  <si>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</si>
  <si>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</si>
  <si>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</si>
  <si>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</si>
  <si>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</si>
  <si>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</si>
  <si>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</si>
  <si>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</si>
  <si>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</si>
  <si>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</si>
  <si>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</si>
  <si>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</si>
  <si>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</si>
  <si>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</si>
  <si>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</si>
  <si>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</si>
  <si>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</si>
  <si>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</si>
  <si>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</si>
  <si>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</si>
  <si>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</si>
  <si>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</si>
  <si>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</si>
  <si>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</si>
  <si>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</si>
  <si>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</si>
  <si>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</si>
  <si>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</si>
  <si>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</si>
  <si>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</si>
  <si>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</si>
  <si>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</si>
  <si>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</si>
  <si>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</si>
  <si>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</si>
  <si>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</si>
  <si>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</si>
  <si>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</si>
  <si>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</si>
  <si>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</si>
  <si>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</si>
  <si>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</si>
  <si>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</si>
  <si>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</si>
  <si>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</si>
  <si>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</si>
  <si>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</si>
  <si>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</si>
  <si>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</si>
  <si>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</si>
  <si>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</si>
  <si>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</si>
  <si>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</si>
  <si>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</si>
  <si>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</si>
  <si>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</si>
  <si>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</si>
  <si>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</si>
  <si>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</si>
  <si>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</si>
  <si>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</si>
  <si>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</si>
  <si>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</si>
  <si>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</si>
  <si>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</si>
  <si>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</si>
  <si>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</si>
  <si>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</si>
  <si>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</si>
  <si>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</si>
  <si>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</si>
  <si>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</si>
  <si>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</si>
  <si>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</si>
  <si>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</si>
  <si>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</si>
  <si>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</si>
  <si>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</si>
  <si>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</si>
  <si>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</si>
  <si>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</si>
  <si>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</si>
  <si>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</si>
  <si>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</si>
  <si>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</si>
  <si>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</si>
  <si>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</si>
  <si>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</si>
  <si>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</si>
  <si>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</si>
  <si>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</si>
  <si>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</si>
  <si>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</si>
  <si>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</si>
  <si>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</si>
  <si>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</si>
  <si>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</si>
  <si>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</si>
  <si>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</si>
  <si>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</si>
  <si>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</si>
  <si>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</si>
  <si>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</si>
  <si>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</si>
  <si>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</si>
  <si>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</si>
  <si>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</si>
  <si>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</si>
  <si>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</si>
  <si>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</si>
  <si>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</si>
  <si>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</si>
  <si>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</si>
  <si>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</si>
  <si>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</si>
  <si>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</si>
  <si>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</si>
  <si>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</si>
  <si>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</si>
  <si>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</si>
  <si>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</si>
  <si>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</si>
  <si>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</si>
  <si>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</si>
  <si>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</si>
  <si>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</si>
  <si>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</si>
  <si>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</si>
  <si>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</si>
  <si>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</si>
  <si>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</si>
  <si>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</si>
  <si>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</si>
  <si>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</si>
  <si>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</si>
  <si>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</si>
  <si>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</si>
  <si>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</si>
  <si>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</si>
  <si>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</si>
  <si>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</si>
  <si>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</si>
  <si>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</si>
  <si>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</si>
  <si>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</si>
  <si>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</si>
  <si>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</si>
  <si>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</si>
  <si>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</si>
  <si>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</si>
  <si>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</si>
  <si>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</si>
  <si>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</si>
  <si>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</si>
  <si>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</si>
  <si>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</si>
  <si>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</si>
  <si>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</si>
  <si>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</si>
  <si>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</si>
  <si>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</si>
  <si>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</si>
  <si>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</si>
  <si>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</si>
  <si>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</si>
  <si>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</si>
  <si>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</si>
  <si>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</si>
  <si>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</si>
  <si>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</si>
  <si>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</si>
  <si>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</si>
  <si>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</si>
  <si>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</si>
  <si>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</si>
  <si>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</si>
  <si>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</si>
  <si>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</si>
  <si>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</si>
  <si>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</si>
  <si>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</si>
  <si>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</si>
  <si>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</si>
  <si>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</si>
  <si>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</si>
  <si>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</si>
  <si>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</si>
  <si>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</si>
  <si>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</si>
  <si>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</si>
  <si>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</si>
  <si>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</si>
  <si>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</si>
  <si>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</si>
  <si>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</si>
  <si>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</si>
  <si>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</si>
  <si>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</si>
  <si>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</si>
  <si>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</si>
  <si>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</si>
  <si>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</si>
  <si>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</si>
  <si>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</si>
  <si>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</si>
  <si>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</si>
  <si>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</si>
  <si>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</si>
  <si>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</si>
  <si>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</si>
  <si>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</si>
  <si>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</si>
  <si>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</si>
  <si>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</si>
  <si>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</si>
  <si>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</si>
  <si>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</si>
  <si>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</si>
  <si>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</si>
  <si>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</si>
  <si>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</si>
  <si>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</si>
  <si>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</si>
  <si>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</si>
  <si>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</si>
  <si>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</si>
  <si>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</si>
  <si>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</si>
  <si>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</si>
  <si>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</si>
  <si>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</si>
  <si>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</si>
  <si>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</si>
  <si>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</si>
  <si>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</si>
  <si>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</si>
  <si>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</si>
  <si>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</si>
  <si>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</si>
  <si>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</si>
  <si>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</si>
  <si>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</si>
  <si>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</si>
  <si>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</si>
  <si>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</si>
  <si>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</si>
  <si>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</si>
  <si>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</si>
  <si>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</si>
  <si>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</si>
  <si>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</si>
  <si>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</si>
  <si>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</si>
  <si>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</si>
  <si>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</si>
  <si>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</si>
  <si>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</si>
  <si>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</si>
  <si>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</si>
  <si>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</si>
  <si>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</si>
  <si>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</si>
  <si>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</si>
  <si>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</si>
  <si>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</si>
  <si>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</si>
  <si>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</si>
  <si>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</si>
  <si>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</si>
  <si>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</si>
  <si>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</si>
  <si>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</si>
  <si>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</si>
  <si>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</si>
  <si>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</si>
  <si>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</si>
  <si>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</si>
  <si>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</si>
  <si>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</si>
  <si>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</si>
  <si>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</si>
  <si>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</si>
  <si>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</si>
  <si>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</si>
  <si>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</si>
  <si>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</si>
  <si>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</si>
  <si>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</si>
  <si>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</si>
  <si>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</si>
  <si>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</si>
  <si>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</si>
  <si>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</si>
  <si>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</si>
  <si>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</si>
  <si>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</si>
  <si>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</si>
  <si>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</si>
  <si>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</si>
  <si>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</si>
  <si>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</si>
  <si>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</si>
  <si>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</si>
  <si>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</si>
  <si>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</si>
  <si>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</si>
  <si>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</si>
  <si>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</si>
  <si>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</si>
  <si>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</si>
  <si>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</si>
  <si>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</si>
  <si>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</si>
  <si>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</si>
  <si>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</si>
  <si>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</si>
  <si>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</si>
  <si>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</si>
  <si>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</si>
  <si>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</si>
  <si>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</si>
  <si>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</si>
  <si>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</si>
  <si>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</si>
  <si>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</si>
  <si>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</si>
  <si>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</si>
  <si>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</si>
  <si>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</si>
  <si>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</si>
  <si>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</si>
  <si>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</si>
  <si>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</si>
  <si>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</si>
  <si>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</si>
  <si>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</si>
  <si>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</si>
  <si>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</si>
  <si>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</si>
  <si>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</si>
  <si>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</si>
  <si>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</si>
  <si>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</si>
  <si>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</si>
  <si>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</si>
  <si>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</si>
  <si>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</si>
  <si>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</si>
  <si>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</si>
  <si>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</si>
  <si>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</si>
  <si>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</si>
  <si>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</si>
  <si>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</si>
  <si>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</si>
  <si>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</si>
  <si>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</si>
  <si>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</si>
  <si>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</si>
  <si>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</si>
  <si>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</si>
  <si>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</si>
  <si>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</si>
  <si>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</si>
  <si>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</si>
  <si>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</si>
  <si>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</si>
  <si>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</si>
  <si>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</si>
  <si>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</si>
  <si>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</si>
  <si>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</si>
  <si>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</si>
  <si>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</si>
  <si>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</si>
  <si>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</si>
  <si>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</si>
  <si>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</si>
  <si>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</si>
  <si>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</si>
  <si>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</si>
  <si>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</si>
  <si>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</si>
  <si>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</si>
  <si>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</si>
  <si>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</si>
  <si>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</si>
  <si>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</si>
  <si>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</si>
  <si>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</si>
  <si>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</si>
  <si>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</si>
  <si>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</si>
  <si>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</si>
  <si>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</si>
  <si>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</si>
  <si>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</si>
  <si>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</si>
  <si>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</si>
  <si>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</si>
  <si>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</si>
  <si>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</si>
  <si>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</si>
  <si>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</si>
  <si>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</si>
  <si>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</si>
  <si>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</si>
  <si>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</si>
  <si>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</si>
  <si>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</si>
  <si>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</si>
  <si>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</si>
  <si>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</si>
  <si>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</si>
  <si>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</si>
  <si>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</si>
  <si>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</si>
  <si>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</si>
  <si>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</si>
  <si>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</si>
  <si>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</si>
  <si>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</si>
  <si>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</si>
  <si>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</si>
  <si>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</si>
  <si>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</si>
  <si>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</si>
  <si>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</si>
  <si>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</si>
  <si>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</si>
  <si>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</si>
  <si>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</si>
  <si>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</si>
  <si>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</si>
  <si>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</si>
  <si>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</si>
  <si>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</si>
  <si>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</si>
  <si>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</si>
  <si>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</si>
  <si>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</si>
  <si>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</si>
  <si>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</si>
  <si>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</si>
  <si>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</si>
  <si>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</si>
  <si>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</si>
  <si>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</si>
  <si>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</si>
  <si>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</si>
  <si>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</si>
  <si>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</si>
  <si>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</si>
  <si>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</si>
  <si>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</si>
  <si>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</si>
  <si>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</si>
  <si>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</si>
  <si>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</si>
  <si>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</si>
  <si>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</si>
  <si>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</si>
  <si>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</si>
  <si>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</si>
  <si>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</si>
  <si>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</si>
  <si>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</si>
  <si>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</si>
  <si>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</si>
  <si>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</si>
  <si>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</si>
  <si>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</si>
  <si>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</si>
  <si>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</si>
  <si>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</si>
  <si>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</si>
  <si>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</si>
  <si>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</si>
  <si>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</si>
  <si>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</si>
  <si>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</si>
  <si>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</si>
  <si>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</si>
  <si>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</si>
  <si>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</si>
  <si>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</si>
  <si>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</si>
  <si>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</si>
  <si>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</si>
  <si>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</si>
  <si>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</si>
  <si>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</si>
  <si>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</si>
  <si>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</si>
  <si>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</si>
  <si>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</si>
  <si>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</si>
  <si>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</si>
  <si>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</si>
  <si>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</si>
  <si>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</si>
  <si>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</si>
  <si>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</si>
  <si>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</si>
  <si>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</si>
  <si>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</si>
  <si>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</si>
  <si>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</si>
  <si>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</si>
  <si>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</si>
  <si>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</si>
  <si>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</si>
  <si>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</si>
  <si>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</si>
  <si>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</si>
  <si>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</si>
  <si>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</si>
  <si>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</si>
  <si>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</si>
  <si>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</si>
  <si>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</si>
  <si>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</si>
  <si>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</si>
  <si>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</si>
  <si>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</si>
  <si>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</si>
  <si>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</si>
  <si>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</si>
  <si>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</si>
  <si>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</si>
  <si>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</si>
  <si>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</si>
  <si>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</si>
  <si>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</si>
  <si>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</si>
  <si>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</si>
  <si>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</si>
  <si>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</si>
  <si>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</si>
  <si>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</si>
  <si>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</si>
  <si>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</si>
  <si>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</si>
  <si>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</si>
  <si>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</si>
  <si>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</si>
  <si>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</si>
  <si>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</si>
  <si>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</si>
  <si>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</si>
  <si>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</si>
  <si>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</si>
  <si>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</si>
  <si>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</si>
  <si>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</si>
  <si>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</si>
  <si>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</si>
  <si>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</si>
  <si>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</si>
  <si>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</si>
  <si>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</si>
  <si>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</si>
  <si>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</si>
  <si>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</si>
  <si>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</si>
  <si>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</si>
  <si>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</si>
  <si>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</si>
  <si>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</si>
  <si>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</si>
  <si>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</si>
  <si>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</si>
  <si>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</si>
  <si>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</si>
  <si>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</si>
  <si>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</si>
  <si>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</si>
  <si>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</si>
  <si>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</si>
  <si>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</si>
  <si>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</si>
  <si>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</si>
  <si>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</si>
  <si>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</si>
  <si>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</si>
  <si>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</si>
  <si>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</si>
  <si>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</si>
  <si>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</si>
  <si>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</si>
  <si>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</si>
  <si>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</si>
  <si>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</si>
  <si>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</si>
  <si>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</si>
  <si>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</si>
  <si>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</si>
  <si>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</si>
  <si>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</si>
  <si>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</si>
  <si>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</si>
  <si>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</si>
  <si>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</si>
  <si>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</si>
  <si>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</si>
  <si>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</si>
  <si>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</si>
  <si>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</si>
  <si>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</si>
  <si>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</si>
  <si>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</si>
  <si>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</si>
  <si>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</si>
  <si>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</si>
  <si>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</si>
  <si>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</si>
  <si>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</si>
  <si>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</si>
  <si>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</si>
  <si>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</si>
  <si>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</si>
  <si>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</si>
  <si>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</si>
  <si>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</si>
  <si>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</si>
  <si>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</si>
  <si>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</si>
  <si>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</si>
  <si>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</si>
  <si>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</si>
  <si>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</si>
  <si>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</si>
  <si>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</si>
  <si>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</si>
  <si>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</si>
  <si>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</si>
  <si>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</si>
  <si>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</si>
  <si>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</si>
  <si>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</si>
  <si>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</si>
  <si>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</si>
  <si>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</si>
  <si>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</si>
  <si>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</si>
  <si>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</si>
  <si>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</si>
  <si>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</si>
  <si>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</si>
  <si>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</si>
  <si>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</si>
  <si>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</si>
  <si>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</si>
  <si>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</si>
  <si>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</si>
  <si>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</si>
  <si>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</si>
  <si>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</si>
  <si>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</si>
  <si>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</si>
  <si>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</si>
  <si>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</si>
  <si>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</si>
  <si>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</si>
  <si>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</si>
  <si>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</si>
  <si>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</si>
  <si>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</si>
  <si>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</si>
  <si>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</si>
  <si>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</si>
  <si>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</si>
  <si>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</si>
  <si>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</si>
  <si>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</si>
  <si>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</si>
  <si>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</si>
  <si>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</si>
  <si>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</si>
  <si>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</si>
  <si>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</si>
  <si>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</si>
  <si>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</si>
  <si>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</si>
  <si>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</si>
  <si>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</si>
  <si>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</si>
  <si>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</si>
  <si>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</si>
  <si>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</si>
  <si>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</si>
  <si>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</si>
  <si>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</si>
  <si>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</si>
  <si>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</si>
  <si>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</si>
  <si>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</si>
  <si>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</si>
  <si>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</si>
  <si>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</si>
  <si>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</si>
  <si>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</si>
  <si>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</si>
  <si>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</si>
  <si>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</si>
  <si>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</si>
  <si>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</si>
  <si>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</si>
  <si>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</si>
  <si>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</si>
  <si>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</si>
  <si>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</si>
  <si>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</si>
  <si>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</si>
  <si>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</si>
  <si>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</si>
  <si>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</si>
  <si>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</si>
  <si>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</si>
  <si>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</si>
  <si>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</si>
  <si>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</si>
  <si>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</si>
  <si>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</si>
  <si>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</si>
  <si>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</si>
  <si>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</si>
  <si>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</si>
  <si>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</si>
  <si>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</si>
  <si>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</si>
  <si>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</si>
  <si>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</si>
  <si>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</si>
  <si>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</si>
  <si>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</si>
  <si>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</si>
  <si>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</si>
  <si>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</si>
  <si>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</si>
  <si>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</si>
  <si>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</si>
  <si>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</si>
  <si>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</si>
  <si>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</si>
  <si>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</si>
  <si>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</si>
  <si>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</si>
  <si>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</si>
  <si>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</si>
  <si>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</si>
  <si>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</si>
  <si>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</si>
  <si>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</si>
  <si>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</si>
  <si>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</si>
  <si>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</si>
  <si>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</si>
  <si>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</si>
  <si>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</si>
  <si>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</si>
  <si>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</si>
  <si>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</si>
  <si>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</si>
  <si>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</si>
  <si>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</si>
  <si>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</si>
  <si>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</si>
  <si>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</si>
  <si>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</si>
  <si>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</si>
  <si>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</si>
  <si>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</si>
  <si>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</si>
  <si>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</si>
  <si>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</si>
  <si>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</si>
  <si>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</si>
  <si>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</si>
  <si>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</si>
  <si>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</si>
  <si>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</si>
  <si>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</si>
  <si>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</si>
  <si>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</si>
  <si>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</si>
  <si>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</si>
  <si>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</si>
  <si>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</si>
  <si>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</si>
  <si>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</si>
  <si>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</si>
  <si>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</si>
  <si>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</si>
  <si>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</si>
  <si>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</si>
  <si>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</si>
  <si>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</si>
  <si>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</si>
  <si>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</si>
  <si>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</si>
  <si>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</si>
  <si>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</si>
  <si>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</si>
  <si>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</si>
  <si>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</si>
  <si>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</si>
  <si>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</si>
  <si>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</si>
  <si>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</si>
  <si>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</si>
  <si>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</si>
  <si>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</si>
  <si>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</si>
  <si>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</si>
  <si>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</si>
  <si>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</si>
  <si>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</si>
  <si>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</si>
  <si>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</si>
  <si>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</si>
  <si>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</si>
  <si>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</si>
  <si>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</si>
  <si>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</si>
  <si>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</si>
  <si>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</si>
  <si>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</si>
  <si>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</si>
  <si>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</si>
  <si>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</si>
  <si>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</si>
  <si>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</si>
  <si>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</si>
  <si>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</si>
  <si>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</si>
  <si>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</si>
  <si>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</si>
  <si>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</si>
  <si>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</si>
  <si>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</si>
  <si>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</si>
  <si>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</si>
  <si>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</si>
  <si>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</si>
  <si>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</si>
  <si>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</si>
  <si>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</si>
  <si>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</si>
  <si>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</si>
  <si>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</si>
  <si>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</si>
  <si>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</si>
  <si>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</si>
  <si>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</si>
  <si>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</si>
  <si>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</si>
  <si>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</si>
  <si>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</si>
  <si>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</si>
  <si>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</si>
  <si>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</si>
  <si>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</si>
  <si>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</si>
  <si>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</si>
  <si>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</si>
  <si>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</si>
  <si>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</si>
  <si>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</si>
  <si>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</si>
  <si>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</si>
  <si>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</si>
  <si>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</si>
  <si>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</si>
  <si>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</si>
  <si>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</si>
  <si>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</si>
  <si>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</si>
  <si>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</si>
  <si>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</si>
  <si>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</si>
  <si>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</si>
  <si>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</si>
  <si>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</si>
  <si>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</si>
  <si>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</si>
  <si>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</si>
  <si>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</si>
  <si>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</si>
  <si>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</si>
  <si>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</si>
  <si>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</si>
  <si>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</si>
  <si>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</si>
  <si>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</si>
  <si>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</si>
  <si>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</si>
  <si>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</si>
  <si>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</si>
  <si>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</si>
  <si>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</si>
  <si>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</si>
  <si>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</si>
  <si>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</si>
  <si>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</si>
  <si>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</si>
  <si>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</si>
  <si>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</si>
  <si>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</si>
  <si>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</si>
  <si>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</si>
  <si>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</si>
  <si>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</si>
  <si>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</si>
  <si>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</si>
  <si>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</si>
  <si>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</si>
  <si>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</si>
  <si>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</si>
  <si>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</si>
  <si>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</si>
  <si>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</si>
  <si>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</si>
  <si>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</si>
  <si>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</si>
  <si>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</si>
  <si>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</si>
  <si>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</si>
  <si>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</si>
  <si>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</si>
  <si>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</si>
  <si>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</si>
  <si>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</si>
  <si>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</si>
  <si>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</si>
  <si>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</si>
  <si>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</si>
  <si>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</si>
  <si>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</si>
  <si>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</si>
  <si>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</si>
  <si>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</si>
  <si>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</si>
  <si>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</si>
  <si>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</si>
  <si>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</si>
  <si>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</si>
  <si>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</si>
  <si>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</si>
  <si>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</si>
  <si>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</si>
  <si>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</si>
  <si>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</si>
  <si>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</si>
  <si>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</si>
  <si>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</si>
  <si>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</si>
  <si>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</si>
  <si>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</si>
  <si>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</si>
  <si>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</si>
  <si>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</si>
  <si>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</si>
  <si>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</si>
  <si>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</si>
  <si>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</si>
  <si>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</si>
  <si>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</si>
  <si>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</si>
  <si>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</si>
  <si>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</si>
  <si>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</si>
  <si>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</si>
  <si>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</si>
  <si>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</si>
  <si>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</si>
  <si>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</si>
  <si>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</si>
  <si>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</si>
  <si>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</si>
  <si>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</si>
  <si>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</si>
  <si>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</si>
  <si>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</si>
  <si>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</si>
  <si>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</si>
  <si>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</si>
  <si>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</si>
  <si>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</si>
  <si>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</si>
  <si>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</si>
  <si>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</si>
  <si>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</si>
  <si>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</si>
  <si>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</si>
  <si>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</si>
  <si>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</si>
  <si>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</si>
  <si>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</si>
  <si>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</si>
  <si>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</si>
  <si>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</si>
  <si>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</si>
  <si>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</si>
  <si>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</si>
  <si>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</si>
  <si>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</si>
  <si>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</si>
  <si>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</si>
  <si>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</si>
  <si>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</si>
  <si>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</si>
  <si>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</si>
  <si>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</si>
  <si>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</si>
  <si>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</si>
  <si>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</si>
  <si>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</si>
  <si>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</si>
  <si>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</si>
  <si>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</si>
  <si>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</si>
  <si>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</si>
  <si>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</si>
  <si>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</si>
  <si>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</si>
  <si>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</si>
  <si>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</si>
  <si>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</si>
  <si>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</si>
  <si>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</si>
  <si>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</si>
  <si>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</si>
  <si>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</si>
  <si>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</si>
  <si>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</si>
  <si>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</si>
  <si>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</si>
  <si>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</si>
  <si>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</si>
  <si>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</si>
  <si>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</si>
  <si>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</si>
  <si>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</si>
  <si>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</si>
  <si>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</si>
  <si>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</si>
  <si>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</si>
  <si>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</si>
  <si>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</si>
  <si>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</si>
  <si>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</si>
  <si>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</si>
  <si>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</si>
  <si>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</si>
  <si>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</si>
  <si>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</si>
  <si>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</si>
  <si>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</si>
  <si>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</si>
  <si>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</si>
  <si>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</si>
  <si>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</si>
  <si>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</si>
  <si>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</si>
  <si>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</si>
  <si>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</si>
  <si>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</si>
  <si>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</si>
  <si>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</si>
  <si>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</si>
  <si>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</si>
  <si>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</si>
  <si>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</si>
  <si>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</si>
  <si>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</si>
  <si>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</si>
  <si>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</si>
  <si>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</si>
  <si>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</si>
  <si>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</si>
  <si>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</si>
  <si>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</si>
  <si>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</si>
  <si>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</si>
  <si>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</si>
  <si>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</si>
  <si>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</si>
  <si>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</si>
  <si>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</si>
  <si>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</si>
  <si>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</si>
  <si>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</si>
  <si>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</si>
  <si>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</si>
  <si>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</si>
  <si>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</si>
  <si>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</si>
  <si>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</si>
  <si>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</si>
  <si>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</si>
  <si>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</si>
  <si>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</si>
  <si>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</si>
  <si>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</si>
  <si>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</si>
  <si>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</si>
  <si>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</si>
  <si>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</si>
  <si>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</si>
  <si>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</si>
  <si>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</si>
  <si>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</si>
  <si>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</si>
  <si>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</si>
  <si>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</si>
  <si>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</si>
  <si>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</si>
  <si>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</si>
  <si>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</si>
  <si>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</si>
  <si>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</si>
  <si>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</si>
  <si>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</si>
  <si>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</si>
  <si>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</si>
  <si>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</si>
  <si>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</si>
  <si>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</si>
  <si>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</si>
  <si>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</si>
  <si>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</si>
  <si>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</si>
  <si>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</si>
  <si>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</si>
  <si>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</si>
  <si>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</si>
  <si>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</si>
  <si>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</si>
  <si>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</si>
  <si>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</si>
  <si>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</si>
  <si>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</si>
  <si>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</si>
  <si>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</si>
  <si>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</si>
  <si>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</si>
  <si>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</si>
  <si>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</si>
  <si>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</si>
  <si>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</si>
  <si>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</si>
  <si>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</si>
  <si>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</si>
  <si>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</si>
  <si>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</si>
  <si>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</si>
  <si>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</si>
  <si>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</si>
  <si>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</si>
  <si>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</si>
  <si>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</si>
  <si>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</si>
  <si>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</si>
  <si>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</si>
  <si>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</si>
  <si>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</si>
  <si>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</si>
  <si>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</si>
  <si>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</si>
  <si>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</si>
  <si>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</si>
  <si>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</si>
  <si>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</si>
  <si>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</si>
  <si>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</si>
  <si>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</si>
  <si>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</si>
  <si>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</si>
  <si>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</si>
  <si>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</si>
  <si>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</si>
  <si>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</si>
  <si>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</si>
  <si>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</si>
  <si>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</si>
  <si>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</si>
  <si>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</si>
  <si>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</si>
  <si>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</si>
  <si>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</si>
  <si>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</si>
  <si>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</si>
  <si>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</si>
  <si>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</si>
  <si>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</si>
  <si>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</si>
  <si>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</si>
  <si>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</si>
  <si>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</si>
  <si>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</si>
  <si>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</si>
  <si>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</si>
  <si>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</si>
  <si>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</si>
  <si>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</si>
  <si>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</si>
  <si>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</si>
  <si>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</si>
  <si>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</si>
  <si>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</si>
  <si>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</si>
  <si>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</si>
  <si>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</si>
  <si>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</si>
  <si>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</si>
  <si>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</si>
  <si>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</si>
  <si>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</si>
  <si>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</si>
  <si>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</si>
  <si>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</si>
  <si>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</si>
  <si>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</si>
  <si>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</si>
  <si>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</si>
  <si>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</si>
  <si>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</si>
  <si>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</si>
  <si>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</si>
  <si>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</si>
  <si>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</si>
  <si>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</si>
  <si>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</si>
  <si>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</si>
  <si>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</si>
  <si>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</si>
  <si>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</si>
  <si>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</si>
  <si>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</si>
  <si>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</si>
  <si>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</si>
  <si>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</si>
  <si>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</si>
  <si>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</si>
  <si>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</si>
  <si>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</si>
  <si>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</si>
  <si>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</si>
  <si>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</si>
  <si>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</si>
  <si>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</si>
  <si>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</si>
  <si>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</si>
  <si>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</si>
  <si>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</si>
  <si>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</si>
  <si>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</si>
  <si>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</si>
  <si>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</si>
  <si>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</si>
  <si>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</si>
  <si>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</si>
  <si>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</si>
  <si>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</si>
  <si>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</si>
  <si>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</si>
  <si>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</si>
  <si>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</si>
  <si>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</si>
  <si>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</si>
  <si>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</si>
  <si>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</si>
  <si>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</si>
  <si>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</si>
  <si>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</si>
  <si>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</si>
  <si>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</si>
  <si>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</si>
  <si>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</si>
  <si>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</si>
  <si>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</si>
  <si>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</si>
  <si>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</si>
  <si>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</si>
  <si>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</si>
  <si>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</si>
  <si>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</si>
  <si>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</si>
  <si>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</si>
  <si>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</si>
  <si>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</si>
  <si>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</si>
  <si>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</si>
  <si>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</si>
  <si>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</si>
  <si>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</si>
  <si>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</si>
  <si>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</si>
  <si>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</si>
  <si>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</si>
  <si>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</si>
  <si>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</si>
  <si>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</si>
  <si>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</si>
  <si>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</si>
  <si>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</si>
  <si>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</si>
  <si>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</si>
  <si>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</si>
  <si>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</si>
  <si>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</si>
  <si>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</si>
  <si>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</si>
  <si>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</si>
  <si>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</si>
  <si>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</si>
  <si>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</si>
  <si>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</si>
  <si>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</si>
  <si>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</si>
  <si>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</si>
  <si>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</si>
  <si>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</si>
  <si>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</si>
  <si>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</si>
  <si>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</si>
  <si>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</si>
  <si>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</si>
  <si>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</si>
  <si>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</si>
  <si>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</si>
  <si>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</si>
  <si>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</si>
  <si>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</si>
  <si>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</si>
  <si>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</si>
  <si>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</si>
  <si>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</si>
  <si>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</si>
  <si>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</si>
  <si>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</si>
  <si>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</si>
  <si>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</si>
  <si>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</si>
  <si>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</si>
  <si>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</si>
  <si>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</si>
  <si>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</si>
  <si>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</si>
  <si>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</si>
  <si>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</si>
  <si>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</si>
  <si>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</si>
  <si>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</si>
  <si>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</si>
  <si>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</si>
  <si>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</si>
  <si>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</si>
  <si>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</si>
  <si>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</si>
  <si>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</si>
  <si>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</si>
  <si>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</si>
  <si>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</si>
  <si>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</si>
  <si>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</si>
  <si>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</si>
  <si>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</si>
  <si>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</si>
  <si>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</si>
  <si>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</si>
  <si>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</si>
  <si>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</si>
  <si>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</si>
  <si>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</si>
  <si>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</si>
  <si>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</si>
  <si>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</si>
  <si>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</si>
  <si>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</si>
  <si>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</si>
  <si>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</si>
  <si>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</si>
  <si>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</si>
  <si>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</si>
  <si>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</si>
  <si>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</si>
  <si>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</si>
  <si>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</si>
  <si>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</si>
  <si>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</si>
  <si>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</si>
  <si>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</si>
  <si>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</si>
  <si>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</si>
  <si>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</si>
  <si>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</si>
  <si>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</si>
  <si>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</si>
  <si>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</si>
  <si>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</si>
  <si>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</si>
  <si>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</si>
  <si>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</si>
  <si>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</si>
  <si>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</si>
  <si>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</si>
  <si>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</si>
  <si>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</si>
  <si>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</si>
  <si>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</si>
  <si>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</si>
  <si>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</si>
  <si>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</si>
  <si>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</si>
  <si>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</si>
  <si>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</si>
  <si>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</si>
  <si>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</si>
  <si>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</si>
  <si>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</si>
  <si>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</si>
  <si>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</si>
  <si>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</si>
  <si>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</si>
  <si>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</si>
  <si>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</si>
  <si>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</si>
  <si>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</si>
  <si>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</si>
  <si>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</si>
  <si>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</si>
  <si>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</si>
  <si>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</si>
  <si>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</si>
  <si>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</si>
  <si>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</si>
  <si>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</si>
  <si>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</si>
  <si>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</si>
  <si>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</si>
  <si>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</si>
  <si>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</si>
  <si>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</si>
  <si>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</si>
  <si>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</si>
  <si>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</si>
  <si>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</si>
  <si>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</si>
  <si>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</si>
  <si>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</si>
  <si>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</si>
  <si>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</si>
  <si>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</si>
  <si>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</si>
  <si>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</si>
  <si>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</si>
  <si>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</si>
  <si>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</si>
  <si>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</si>
  <si>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</si>
  <si>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</si>
  <si>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</si>
  <si>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</si>
  <si>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</si>
  <si>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</si>
  <si>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</si>
  <si>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</si>
  <si>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</si>
  <si>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</si>
  <si>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</si>
  <si>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</si>
  <si>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</si>
  <si>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</si>
  <si>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</si>
  <si>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</si>
  <si>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</si>
  <si>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</si>
  <si>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</si>
  <si>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</si>
  <si>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</si>
  <si>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</si>
  <si>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</si>
  <si>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</si>
  <si>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</si>
  <si>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</si>
  <si>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</si>
  <si>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</si>
  <si>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</si>
  <si>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</si>
  <si>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</si>
  <si>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</si>
  <si>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</si>
  <si>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</si>
  <si>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</si>
  <si>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</si>
  <si>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</si>
  <si>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</si>
  <si>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</si>
  <si>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</si>
  <si>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</si>
  <si>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</si>
  <si>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</si>
  <si>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</si>
  <si>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</si>
  <si>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</si>
  <si>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</si>
  <si>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</si>
  <si>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</si>
  <si>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</si>
  <si>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</si>
  <si>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</si>
  <si>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</si>
  <si>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</si>
  <si>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</si>
  <si>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</si>
  <si>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</si>
  <si>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</si>
  <si>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</si>
  <si>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</si>
  <si>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</si>
  <si>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</si>
  <si>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</si>
  <si>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</si>
  <si>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</si>
  <si>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</si>
  <si>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</si>
  <si>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</si>
  <si>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</si>
  <si>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</si>
  <si>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</si>
  <si>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</si>
  <si>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</si>
  <si>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</si>
  <si>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</si>
  <si>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</si>
  <si>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</si>
  <si>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</si>
  <si>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</si>
  <si>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</si>
  <si>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</si>
  <si>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</si>
  <si>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</si>
  <si>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</si>
  <si>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</si>
  <si>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</si>
  <si>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</si>
  <si>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</si>
  <si>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</si>
  <si>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</si>
  <si>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</si>
  <si>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</si>
  <si>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</si>
  <si>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</si>
  <si>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</si>
  <si>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</si>
  <si>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</si>
  <si>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</si>
  <si>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</si>
  <si>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</si>
  <si>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</si>
  <si>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</si>
  <si>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</si>
  <si>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</si>
  <si>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</si>
  <si>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</si>
  <si>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</si>
  <si>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</si>
  <si>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</si>
  <si>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</si>
  <si>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</si>
  <si>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</si>
  <si>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</si>
  <si>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</si>
  <si>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</si>
  <si>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</si>
  <si>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</si>
  <si>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</si>
  <si>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</si>
  <si>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</si>
  <si>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</si>
  <si>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</si>
  <si>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</si>
  <si>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</si>
  <si>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</si>
  <si>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</si>
  <si>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</si>
  <si>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</si>
  <si>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</si>
  <si>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</si>
  <si>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</si>
  <si>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</si>
  <si>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</si>
  <si>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</si>
  <si>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</si>
  <si>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</si>
  <si>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</si>
  <si>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</si>
  <si>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</si>
  <si>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</si>
  <si>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</si>
  <si>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</si>
  <si>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</si>
  <si>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</si>
  <si>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</si>
  <si>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</si>
  <si>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</si>
  <si>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</si>
  <si>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</si>
  <si>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</si>
  <si>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</si>
  <si>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</si>
  <si>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</si>
  <si>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</si>
  <si>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</si>
  <si>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</si>
  <si>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</si>
  <si>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</si>
  <si>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</si>
  <si>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</si>
  <si>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</si>
  <si>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</si>
  <si>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</si>
  <si>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</si>
  <si>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</si>
  <si>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</si>
  <si>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</si>
  <si>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</si>
  <si>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</si>
  <si>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</si>
  <si>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</si>
  <si>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</si>
  <si>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</si>
  <si>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</si>
  <si>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</si>
  <si>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</si>
  <si>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</si>
  <si>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</si>
  <si>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</si>
  <si>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</si>
  <si>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</si>
  <si>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</si>
  <si>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</si>
  <si>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</si>
  <si>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</si>
  <si>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</si>
  <si>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</si>
  <si>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</si>
  <si>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</si>
  <si>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</si>
  <si>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</si>
  <si>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</si>
  <si>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</si>
  <si>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</si>
  <si>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</si>
  <si>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</si>
  <si>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</si>
  <si>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</si>
  <si>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</si>
  <si>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</si>
  <si>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</si>
  <si>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</si>
  <si>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</si>
  <si>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</si>
  <si>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</si>
  <si>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</si>
  <si>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</si>
  <si>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</si>
  <si>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</si>
  <si>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</si>
  <si>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</si>
  <si>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</si>
  <si>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</si>
  <si>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</si>
  <si>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</si>
  <si>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</si>
  <si>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</si>
  <si>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</si>
  <si>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</si>
  <si>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</si>
  <si>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</si>
  <si>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</si>
  <si>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</si>
  <si>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</si>
  <si>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</si>
  <si>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</si>
  <si>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</si>
  <si>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</si>
  <si>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</si>
  <si>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</si>
  <si>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</si>
  <si>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</si>
  <si>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</si>
  <si>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</si>
  <si>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</si>
  <si>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</si>
  <si>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</si>
  <si>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</si>
  <si>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</si>
  <si>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</si>
  <si>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</si>
  <si>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</si>
  <si>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</si>
  <si>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</si>
  <si>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</si>
  <si>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</si>
  <si>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</si>
  <si>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</si>
  <si>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</si>
  <si>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</si>
  <si>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</si>
  <si>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</si>
  <si>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</si>
  <si>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</si>
  <si>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</si>
  <si>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</si>
  <si>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</si>
  <si>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</si>
  <si>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</si>
  <si>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</si>
  <si>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</si>
  <si>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</si>
  <si>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</si>
  <si>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</si>
  <si>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</si>
  <si>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</si>
  <si>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</si>
  <si>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</si>
  <si>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</si>
  <si>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</si>
  <si>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</si>
  <si>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</si>
  <si>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</si>
  <si>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</si>
  <si>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</si>
  <si>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</si>
  <si>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</si>
  <si>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</si>
  <si>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</si>
  <si>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</si>
  <si>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</si>
  <si>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</si>
  <si>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</si>
  <si>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</si>
  <si>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</si>
  <si>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</si>
  <si>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</si>
  <si>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</si>
  <si>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</si>
  <si>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</si>
  <si>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</si>
  <si>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</si>
  <si>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</si>
  <si>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</si>
  <si>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</si>
  <si>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</si>
  <si>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</si>
  <si>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</si>
  <si>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</si>
  <si>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</si>
  <si>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</si>
  <si>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</si>
  <si>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</si>
  <si>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</si>
  <si>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</si>
  <si>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</si>
  <si>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</si>
  <si>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</si>
  <si>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</si>
  <si>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</si>
  <si>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</si>
  <si>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</si>
  <si>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</si>
  <si>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</si>
  <si>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</si>
  <si>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</si>
  <si>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</si>
  <si>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</si>
  <si>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</si>
  <si>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</si>
  <si>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</si>
  <si>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</si>
  <si>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</si>
  <si>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</si>
  <si>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</si>
  <si>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</si>
  <si>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</si>
  <si>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</si>
  <si>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</si>
  <si>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</si>
  <si>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</si>
  <si>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</si>
  <si>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</si>
  <si>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</si>
  <si>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</si>
  <si>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</si>
  <si>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</si>
  <si>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</si>
  <si>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</si>
  <si>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</si>
  <si>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</si>
  <si>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</si>
  <si>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</si>
  <si>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</si>
  <si>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</si>
  <si>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</si>
  <si>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</si>
  <si>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</si>
  <si>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</si>
  <si>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</si>
  <si>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</si>
  <si>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</si>
  <si>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</si>
  <si>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</si>
  <si>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</si>
  <si>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</si>
  <si>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</si>
  <si>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</si>
  <si>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</si>
  <si>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</si>
  <si>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</si>
  <si>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</si>
  <si>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</si>
  <si>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</si>
  <si>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</si>
  <si>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</si>
  <si>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</si>
  <si>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</si>
  <si>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</si>
  <si>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</si>
  <si>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</si>
  <si>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</si>
  <si>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</si>
  <si>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</si>
  <si>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</si>
  <si>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</si>
  <si>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</si>
  <si>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</si>
  <si>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</si>
  <si>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</si>
  <si>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</si>
  <si>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</si>
  <si>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</si>
  <si>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</si>
  <si>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</si>
  <si>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</si>
  <si>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</si>
  <si>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</si>
  <si>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</si>
  <si>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</si>
  <si>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</si>
  <si>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</si>
  <si>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</si>
  <si>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</si>
  <si>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</si>
  <si>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</si>
  <si>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</si>
  <si>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</si>
  <si>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</si>
  <si>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</si>
  <si>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</si>
  <si>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</si>
  <si>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</si>
  <si>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</si>
  <si>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</si>
  <si>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</si>
  <si>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</si>
  <si>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</si>
  <si>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</si>
  <si>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</si>
  <si>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</si>
  <si>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</si>
  <si>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</si>
  <si>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</si>
  <si>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</si>
  <si>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</si>
  <si>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</si>
  <si>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</si>
  <si>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</si>
  <si>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</si>
  <si>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</si>
  <si>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</si>
  <si>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</si>
  <si>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</si>
  <si>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</si>
  <si>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</si>
  <si>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</si>
  <si>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</si>
  <si>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</si>
  <si>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</si>
  <si>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</si>
  <si>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</si>
  <si>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</si>
  <si>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</si>
  <si>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</si>
  <si>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</si>
  <si>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</si>
  <si>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</si>
  <si>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</si>
  <si>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</si>
  <si>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</si>
  <si>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</si>
  <si>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</si>
  <si>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</si>
  <si>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</si>
  <si>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</si>
  <si>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</si>
  <si>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</si>
  <si>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</si>
  <si>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</si>
  <si>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</si>
  <si>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</si>
  <si>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</si>
  <si>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</si>
  <si>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</si>
  <si>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</si>
  <si>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</si>
  <si>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</si>
  <si>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</si>
  <si>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</si>
  <si>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</si>
  <si>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</si>
  <si>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</si>
  <si>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</si>
  <si>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</si>
  <si>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</si>
  <si>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</si>
  <si>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</si>
  <si>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</si>
  <si>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</si>
  <si>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</si>
  <si>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</si>
  <si>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</si>
  <si>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</si>
  <si>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</si>
  <si>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</si>
  <si>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</si>
  <si>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</si>
  <si>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</si>
  <si>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</si>
  <si>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</si>
  <si>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</si>
  <si>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</si>
  <si>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</si>
  <si>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</si>
  <si>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</si>
  <si>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</si>
  <si>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</si>
  <si>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</si>
  <si>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</si>
  <si>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</si>
  <si>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</si>
  <si>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</si>
  <si>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</si>
  <si>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</si>
  <si>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</si>
  <si>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</si>
  <si>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</si>
  <si>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</si>
  <si>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</si>
  <si>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</si>
  <si>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</si>
  <si>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</si>
  <si>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</si>
  <si>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</si>
  <si>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</si>
  <si>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</si>
  <si>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</si>
  <si>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</si>
  <si>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</si>
  <si>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</si>
  <si>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</si>
  <si>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</si>
  <si>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</si>
  <si>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</si>
  <si>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</si>
  <si>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</si>
  <si>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</si>
  <si>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</si>
  <si>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</si>
  <si>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</si>
  <si>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</si>
  <si>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</si>
  <si>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</si>
  <si>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</si>
  <si>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</si>
  <si>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</si>
  <si>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</si>
  <si>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</si>
  <si>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</si>
  <si>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</si>
  <si>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</si>
  <si>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</si>
  <si>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</si>
  <si>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</si>
  <si>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</si>
  <si>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</si>
  <si>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</si>
  <si>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</si>
  <si>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</si>
  <si>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</si>
  <si>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</si>
  <si>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</si>
  <si>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</si>
  <si>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</si>
  <si>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</si>
  <si>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</si>
  <si>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</si>
  <si>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</si>
  <si>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</si>
  <si>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</si>
  <si>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</si>
  <si>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</si>
  <si>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</si>
  <si>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</si>
  <si>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</si>
  <si>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</si>
  <si>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</si>
  <si>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</si>
  <si>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</si>
  <si>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</si>
  <si>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</si>
  <si>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</si>
  <si>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</si>
  <si>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</si>
  <si>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</si>
  <si>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</si>
  <si>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</si>
  <si>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</si>
  <si>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</si>
  <si>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</si>
  <si>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</si>
  <si>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</si>
  <si>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</si>
  <si>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</si>
  <si>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</si>
  <si>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</si>
  <si>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</si>
  <si>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</si>
  <si>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</si>
  <si>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</si>
  <si>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</si>
  <si>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</si>
  <si>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</si>
  <si>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</si>
  <si>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</si>
  <si>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</si>
  <si>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</si>
  <si>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</si>
  <si>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</si>
  <si>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</si>
  <si>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</si>
  <si>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</si>
  <si>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</si>
  <si>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</si>
  <si>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</si>
  <si>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</si>
  <si>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</si>
  <si>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</si>
  <si>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</si>
  <si>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</si>
  <si>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</si>
  <si>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</si>
  <si>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</si>
  <si>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</si>
  <si>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</si>
  <si>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</si>
  <si>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</si>
  <si>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</si>
  <si>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</si>
  <si>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</si>
  <si>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</si>
  <si>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</si>
  <si>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</si>
  <si>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</si>
  <si>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</si>
  <si>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</si>
  <si>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</si>
  <si>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</si>
  <si>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</si>
  <si>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</si>
  <si>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</si>
  <si>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</si>
  <si>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</si>
  <si>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</si>
  <si>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</si>
  <si>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</si>
  <si>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</si>
  <si>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</si>
  <si>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</si>
  <si>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</si>
  <si>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</si>
  <si>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</si>
  <si>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</si>
  <si>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</si>
  <si>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</si>
  <si>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</si>
  <si>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</si>
  <si>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</si>
  <si>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</si>
  <si>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</si>
  <si>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</si>
  <si>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</si>
  <si>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</si>
  <si>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</si>
  <si>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</si>
  <si>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</si>
  <si>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</si>
  <si>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</si>
  <si>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</si>
  <si>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</si>
  <si>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</si>
  <si>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</si>
  <si>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</si>
  <si>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</si>
  <si>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</si>
  <si>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</si>
  <si>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</si>
  <si>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</si>
  <si>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</si>
  <si>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</si>
  <si>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</si>
  <si>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</si>
  <si>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</si>
  <si>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</si>
  <si>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</si>
  <si>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</si>
  <si>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</si>
  <si>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</si>
  <si>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</si>
  <si>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</si>
  <si>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</si>
  <si>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</si>
  <si>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</si>
  <si>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</si>
  <si>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</si>
  <si>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</si>
  <si>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</si>
  <si>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</si>
  <si>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</si>
  <si>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</si>
  <si>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</si>
  <si>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</si>
  <si>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</si>
  <si>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</si>
  <si>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</si>
  <si>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</si>
  <si>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</si>
  <si>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</si>
  <si>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</si>
  <si>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</si>
  <si>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</si>
  <si>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</si>
  <si>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</si>
  <si>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</si>
  <si>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</si>
  <si>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</si>
  <si>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</si>
  <si>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</si>
  <si>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</si>
  <si>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</si>
  <si>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</si>
  <si>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</si>
  <si>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</si>
  <si>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</si>
  <si>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</si>
  <si>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</si>
  <si>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</si>
  <si>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</si>
  <si>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</si>
  <si>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</si>
  <si>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</si>
  <si>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</si>
  <si>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</si>
  <si>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</si>
  <si>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</si>
  <si>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</si>
  <si>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</si>
  <si>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</si>
  <si>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</si>
  <si>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</si>
  <si>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</si>
  <si>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</si>
  <si>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</si>
  <si>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</si>
  <si>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</si>
  <si>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</si>
  <si>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</si>
  <si>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</si>
  <si>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</si>
  <si>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</si>
  <si>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</si>
  <si>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</si>
  <si>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</si>
  <si>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</si>
  <si>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</si>
  <si>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</si>
  <si>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</si>
  <si>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</si>
  <si>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</si>
  <si>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</si>
  <si>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</si>
  <si>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</si>
  <si>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</si>
  <si>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</si>
  <si>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</si>
  <si>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</si>
  <si>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</si>
  <si>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</si>
  <si>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</si>
  <si>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</si>
  <si>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</si>
  <si>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</si>
  <si>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</si>
  <si>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</si>
  <si>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</si>
  <si>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</si>
  <si>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</si>
  <si>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</si>
  <si>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</si>
  <si>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</si>
  <si>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</si>
  <si>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</si>
  <si>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</si>
  <si>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</si>
  <si>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</si>
  <si>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</si>
  <si>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</si>
  <si>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</si>
  <si>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</si>
  <si>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</si>
  <si>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</si>
  <si>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</si>
  <si>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</si>
  <si>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</si>
  <si>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</si>
  <si>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</si>
  <si>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</si>
  <si>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</si>
  <si>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</si>
  <si>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</si>
  <si>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</si>
  <si>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</si>
  <si>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</si>
  <si>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</si>
  <si>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</si>
  <si>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</si>
  <si>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</si>
  <si>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</si>
  <si>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</si>
  <si>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</si>
  <si>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</si>
  <si>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</si>
  <si>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</si>
  <si>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</si>
  <si>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</si>
  <si>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</si>
  <si>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</si>
  <si>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</si>
  <si>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</si>
  <si>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</si>
  <si>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</si>
  <si>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</si>
  <si>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</si>
  <si>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</si>
  <si>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</si>
  <si>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</si>
  <si>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</si>
  <si>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</si>
  <si>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</si>
  <si>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</si>
  <si>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</si>
  <si>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</si>
  <si>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</si>
  <si>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</si>
  <si>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</si>
  <si>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</si>
  <si>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</si>
  <si>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</si>
  <si>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</si>
  <si>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</si>
  <si>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</si>
  <si>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</si>
  <si>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</si>
  <si>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</si>
  <si>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</si>
  <si>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</si>
  <si>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</si>
  <si>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</si>
  <si>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</si>
  <si>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</si>
  <si>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</si>
  <si>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</si>
  <si>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</si>
  <si>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</si>
  <si>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</si>
  <si>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</si>
  <si>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</si>
  <si>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</si>
  <si>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</si>
  <si>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</si>
  <si>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</si>
  <si>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</si>
  <si>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</si>
  <si>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</si>
  <si>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</si>
  <si>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</si>
  <si>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</si>
  <si>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</si>
  <si>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</si>
  <si>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</si>
  <si>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</si>
  <si>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</si>
  <si>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</si>
  <si>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</si>
  <si>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</si>
  <si>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</si>
  <si>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</si>
  <si>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</si>
  <si>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</si>
  <si>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</si>
  <si>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</si>
  <si>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</si>
  <si>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</si>
  <si>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</si>
  <si>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</si>
  <si>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</si>
  <si>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</si>
  <si>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</si>
  <si>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</si>
  <si>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</si>
  <si>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</si>
  <si>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</si>
  <si>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</si>
  <si>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</si>
  <si>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</si>
  <si>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</si>
  <si>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</si>
  <si>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</si>
  <si>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</si>
  <si>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</si>
  <si>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</si>
  <si>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</si>
  <si>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</si>
  <si>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</si>
  <si>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</si>
  <si>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</si>
  <si>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</si>
  <si>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</si>
  <si>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</si>
  <si>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</si>
  <si>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</si>
  <si>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</si>
  <si>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</si>
  <si>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</si>
  <si>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</si>
  <si>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</si>
  <si>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</si>
  <si>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</si>
  <si>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</si>
  <si>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</si>
  <si>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</si>
  <si>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</si>
  <si>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</si>
  <si>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</si>
  <si>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</si>
  <si>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</si>
  <si>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</si>
  <si>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</si>
  <si>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</si>
  <si>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</si>
  <si>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</si>
  <si>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</si>
  <si>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</si>
  <si>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</si>
  <si>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</si>
  <si>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</si>
  <si>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</si>
  <si>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</si>
  <si>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</si>
  <si>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</si>
  <si>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</si>
  <si>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</si>
  <si>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</si>
  <si>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</si>
  <si>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</si>
  <si>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</si>
  <si>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</si>
  <si>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</si>
  <si>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</si>
  <si>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</si>
  <si>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</si>
  <si>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</si>
  <si>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</si>
  <si>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</si>
  <si>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</si>
  <si>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</si>
  <si>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</si>
  <si>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</si>
  <si>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</si>
  <si>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</si>
  <si>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</si>
  <si>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</si>
  <si>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</si>
  <si>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</si>
  <si>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</si>
  <si>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</si>
  <si>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</si>
  <si>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</si>
  <si>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</si>
  <si>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</si>
  <si>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</si>
  <si>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</si>
  <si>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</si>
  <si>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</si>
  <si>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</si>
  <si>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</si>
  <si>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</si>
  <si>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</si>
  <si>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</si>
  <si>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</si>
  <si>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</si>
  <si>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</si>
  <si>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</si>
  <si>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</si>
  <si>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</si>
  <si>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</si>
  <si>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</si>
  <si>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</si>
  <si>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</si>
  <si>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</si>
  <si>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</si>
  <si>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</si>
  <si>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</si>
  <si>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</si>
  <si>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</si>
  <si>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</si>
  <si>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</si>
  <si>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</si>
  <si>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</si>
  <si>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</si>
  <si>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</si>
  <si>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</si>
  <si>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</si>
  <si>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</si>
  <si>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</si>
  <si>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</si>
  <si>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</si>
  <si>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</si>
  <si>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</si>
  <si>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</si>
  <si>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</si>
  <si>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</si>
  <si>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</si>
  <si>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</si>
  <si>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</si>
  <si>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</si>
  <si>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</si>
  <si>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</si>
  <si>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</si>
  <si>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</si>
  <si>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</si>
  <si>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</si>
  <si>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</si>
  <si>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</si>
  <si>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</si>
  <si>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</si>
  <si>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</si>
  <si>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</si>
  <si>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</si>
  <si>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</si>
  <si>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</si>
  <si>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</si>
  <si>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</si>
  <si>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</si>
  <si>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</si>
  <si>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</si>
  <si>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</si>
  <si>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</si>
  <si>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</si>
  <si>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</si>
  <si>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</si>
  <si>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</si>
  <si>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</si>
  <si>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</si>
  <si>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</si>
  <si>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</si>
  <si>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</si>
  <si>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</si>
  <si>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</si>
  <si>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</si>
  <si>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</si>
  <si>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</si>
  <si>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</si>
  <si>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</si>
  <si>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</si>
  <si>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</si>
  <si>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</si>
  <si>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</si>
  <si>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</si>
  <si>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</si>
  <si>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</si>
  <si>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</si>
  <si>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</si>
  <si>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</si>
  <si>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</si>
  <si>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</si>
  <si>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</si>
  <si>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</si>
  <si>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</si>
  <si>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</si>
  <si>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</si>
  <si>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</si>
  <si>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</si>
  <si>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</si>
  <si>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</si>
  <si>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</si>
  <si>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</si>
  <si>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</si>
  <si>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</si>
  <si>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</si>
  <si>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</si>
  <si>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</si>
  <si>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</si>
  <si>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</si>
  <si>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</si>
  <si>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</si>
  <si>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</si>
  <si>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</si>
  <si>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</si>
  <si>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</si>
  <si>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</si>
  <si>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</si>
  <si>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</si>
  <si>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</si>
  <si>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</si>
  <si>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</si>
  <si>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</si>
  <si>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</si>
  <si>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</si>
  <si>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</si>
  <si>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</si>
  <si>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</si>
  <si>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</si>
  <si>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</si>
  <si>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</si>
  <si>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</si>
  <si>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</si>
  <si>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</si>
  <si>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</si>
  <si>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</si>
  <si>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</si>
  <si>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</si>
  <si>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</si>
  <si>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</si>
  <si>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</si>
  <si>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</si>
  <si>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</si>
  <si>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</si>
  <si>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</si>
  <si>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</si>
  <si>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</si>
  <si>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</si>
  <si>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</si>
  <si>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</si>
  <si>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</si>
  <si>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</si>
  <si>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</si>
  <si>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</si>
  <si>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</si>
  <si>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</si>
  <si>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</si>
  <si>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</si>
  <si>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</si>
  <si>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</si>
  <si>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</si>
  <si>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</si>
  <si>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</si>
  <si>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</si>
  <si>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</si>
  <si>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</si>
  <si>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</si>
  <si>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</si>
  <si>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</si>
  <si>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</si>
  <si>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</si>
  <si>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</si>
  <si>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</si>
  <si>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</si>
  <si>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</si>
  <si>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</si>
  <si>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</si>
  <si>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</si>
  <si>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</si>
  <si>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</si>
  <si>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</si>
  <si>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</si>
  <si>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</si>
  <si>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</si>
  <si>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</si>
  <si>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</si>
  <si>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</si>
  <si>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</si>
  <si>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</si>
  <si>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</si>
  <si>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</si>
  <si>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</si>
  <si>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</si>
  <si>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</si>
  <si>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</si>
  <si>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</si>
  <si>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</si>
  <si>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</si>
  <si>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</si>
  <si>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</si>
  <si>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</si>
  <si>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</si>
  <si>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</si>
  <si>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</si>
  <si>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</si>
  <si>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</si>
  <si>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</si>
  <si>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</si>
  <si>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</si>
  <si>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</si>
  <si>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</si>
  <si>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</si>
  <si>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</si>
  <si>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</si>
  <si>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</si>
  <si>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</si>
  <si>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</si>
  <si>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</si>
  <si>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</si>
  <si>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</si>
  <si>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</si>
  <si>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</si>
  <si>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</si>
  <si>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</si>
  <si>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</si>
  <si>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</si>
  <si>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</si>
  <si>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</si>
  <si>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</si>
  <si>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</si>
  <si>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</si>
  <si>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</si>
  <si>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</si>
  <si>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</si>
  <si>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</si>
  <si>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</si>
  <si>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</si>
  <si>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</si>
  <si>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</si>
  <si>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</si>
  <si>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</si>
  <si>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</si>
  <si>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</si>
  <si>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</si>
  <si>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</si>
  <si>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</si>
  <si>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</si>
  <si>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</si>
  <si>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</si>
  <si>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</si>
  <si>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</si>
  <si>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</si>
  <si>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</si>
  <si>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</si>
  <si>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</si>
  <si>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</si>
  <si>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</si>
  <si>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</si>
  <si>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</si>
  <si>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</si>
  <si>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</si>
  <si>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</si>
  <si>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</si>
  <si>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</si>
  <si>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</si>
  <si>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</si>
  <si>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</si>
  <si>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</si>
  <si>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</si>
  <si>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</si>
  <si>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</si>
  <si>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</si>
  <si>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</si>
  <si>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</si>
  <si>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</si>
  <si>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</si>
  <si>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</si>
  <si>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</si>
  <si>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</si>
  <si>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</si>
  <si>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</si>
  <si>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</si>
  <si>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</si>
  <si>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</si>
  <si>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</si>
  <si>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</si>
  <si>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</si>
  <si>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</si>
  <si>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</si>
  <si>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</si>
  <si>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</si>
  <si>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</si>
  <si>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</si>
  <si>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</si>
  <si>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</si>
  <si>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</si>
  <si>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</si>
  <si>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</si>
  <si>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</si>
  <si>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</si>
  <si>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</si>
  <si>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</si>
  <si>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</si>
  <si>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</si>
  <si>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</si>
  <si>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</si>
  <si>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</si>
  <si>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</si>
  <si>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</si>
  <si>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</si>
  <si>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</si>
  <si>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</si>
  <si>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</si>
  <si>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</si>
  <si>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</si>
  <si>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</si>
  <si>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</si>
  <si>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</si>
  <si>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</si>
  <si>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</si>
  <si>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</si>
  <si>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</si>
  <si>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</si>
  <si>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</si>
  <si>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</si>
  <si>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</si>
  <si>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</si>
  <si>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</si>
  <si>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</si>
  <si>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</si>
  <si>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</si>
  <si>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</si>
  <si>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</si>
  <si>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</si>
  <si>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</si>
  <si>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</si>
  <si>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</si>
  <si>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</si>
  <si>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</si>
  <si>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</si>
  <si>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</si>
  <si>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</si>
  <si>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</si>
  <si>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</si>
  <si>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</si>
  <si>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</si>
  <si>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</si>
  <si>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</si>
  <si>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</si>
  <si>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</si>
  <si>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</si>
  <si>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</si>
  <si>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</si>
  <si>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</si>
  <si>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</si>
  <si>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</si>
  <si>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</si>
  <si>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</si>
  <si>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</si>
  <si>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</si>
  <si>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</si>
  <si>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</si>
  <si>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</si>
  <si>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</si>
  <si>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</si>
  <si>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</si>
  <si>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</si>
  <si>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</si>
  <si>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</si>
  <si>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</si>
  <si>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</si>
  <si>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</si>
  <si>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</si>
  <si>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</si>
  <si>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</si>
  <si>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</si>
  <si>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</si>
  <si>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</si>
  <si>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</si>
  <si>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</si>
  <si>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</si>
  <si>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</si>
  <si>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</si>
  <si>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</si>
  <si>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</si>
  <si>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</si>
  <si>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</si>
  <si>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</si>
  <si>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</si>
  <si>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</si>
  <si>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</si>
  <si>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</si>
  <si>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</si>
  <si>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</si>
  <si>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</si>
  <si>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</si>
  <si>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</si>
  <si>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</si>
  <si>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</si>
  <si>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</si>
  <si>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</si>
  <si>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</si>
  <si>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</si>
  <si>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</si>
  <si>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</si>
  <si>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</si>
  <si>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</si>
  <si>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</si>
  <si>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</si>
  <si>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</si>
  <si>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</si>
  <si>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</si>
  <si>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</si>
  <si>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</si>
  <si>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</si>
  <si>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</si>
  <si>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</si>
  <si>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</si>
  <si>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</si>
  <si>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</si>
  <si>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</si>
  <si>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</si>
  <si>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</si>
  <si>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</si>
  <si>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</si>
  <si>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</si>
  <si>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</si>
  <si>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</si>
  <si>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</si>
  <si>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</si>
  <si>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</si>
  <si>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</si>
  <si>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</si>
  <si>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</si>
  <si>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</si>
  <si>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</si>
  <si>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</si>
  <si>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</si>
  <si>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</si>
  <si>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</si>
  <si>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</si>
  <si>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</si>
  <si>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</si>
  <si>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</si>
  <si>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</si>
  <si>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</si>
  <si>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</si>
  <si>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</si>
  <si>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</si>
  <si>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</si>
  <si>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</si>
  <si>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</si>
  <si>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</si>
  <si>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</si>
  <si>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</si>
  <si>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</si>
  <si>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</si>
  <si>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</si>
  <si>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</si>
  <si>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</si>
  <si>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</si>
  <si>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</si>
  <si>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</si>
  <si>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</si>
  <si>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</si>
  <si>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</si>
  <si>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</si>
  <si>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</si>
  <si>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</si>
  <si>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</si>
  <si>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</si>
  <si>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</si>
  <si>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</si>
  <si>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</si>
  <si>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</si>
  <si>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</si>
  <si>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</si>
  <si>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</si>
  <si>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</si>
  <si>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</si>
  <si>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</si>
  <si>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</si>
  <si>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</si>
  <si>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</si>
  <si>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</si>
  <si>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</si>
  <si>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</si>
  <si>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</si>
  <si>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</si>
  <si>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</si>
  <si>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</si>
  <si>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</si>
  <si>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</si>
  <si>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</si>
  <si>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</si>
  <si>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</si>
  <si>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</si>
  <si>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</si>
  <si>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</si>
  <si>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</si>
  <si>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</si>
  <si>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</si>
  <si>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</si>
  <si>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</si>
  <si>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</si>
  <si>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</si>
  <si>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</si>
  <si>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</si>
  <si>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</si>
  <si>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</si>
  <si>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</si>
  <si>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</si>
  <si>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</si>
  <si>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</si>
  <si>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</si>
  <si>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</si>
  <si>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</si>
  <si>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</si>
  <si>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</si>
  <si>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</si>
  <si>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</si>
  <si>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</si>
  <si>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</si>
  <si>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</si>
  <si>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</si>
  <si>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</si>
  <si>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</si>
  <si>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</si>
  <si>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</si>
  <si>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</si>
  <si>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</si>
  <si>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</si>
  <si>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</si>
  <si>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</si>
  <si>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</si>
  <si>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</si>
  <si>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</si>
  <si>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</si>
  <si>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</si>
  <si>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</si>
  <si>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</si>
  <si>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</si>
  <si>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</si>
  <si>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</si>
  <si>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</si>
  <si>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</si>
  <si>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</si>
  <si>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</si>
  <si>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</si>
  <si>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</si>
  <si>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</si>
  <si>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</si>
  <si>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</si>
  <si>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</si>
  <si>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</si>
  <si>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</si>
  <si>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</si>
  <si>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</si>
  <si>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</si>
  <si>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</si>
  <si>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</si>
  <si>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</si>
  <si>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</si>
  <si>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</si>
  <si>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</si>
  <si>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</si>
  <si>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</si>
  <si>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</si>
  <si>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</si>
  <si>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</si>
  <si>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</si>
  <si>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</si>
  <si>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</si>
  <si>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</si>
  <si>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</si>
  <si>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</si>
  <si>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</si>
  <si>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</si>
  <si>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</si>
  <si>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</si>
  <si>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</si>
  <si>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</si>
  <si>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</si>
  <si>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</si>
  <si>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</si>
  <si>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</si>
  <si>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</si>
  <si>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</si>
  <si>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</si>
  <si>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</si>
  <si>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</si>
  <si>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</si>
  <si>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</si>
  <si>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</si>
  <si>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</si>
  <si>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</si>
  <si>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</si>
  <si>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</si>
  <si>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</si>
  <si>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</si>
  <si>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</si>
  <si>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</si>
  <si>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</si>
  <si>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</si>
  <si>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</si>
  <si>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</si>
  <si>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</si>
  <si>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</si>
  <si>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</si>
  <si>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</si>
  <si>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</si>
  <si>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</si>
  <si>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</si>
  <si>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</si>
  <si>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</si>
  <si>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</si>
  <si>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</si>
  <si>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</si>
  <si>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</si>
  <si>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</si>
  <si>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</si>
  <si>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</si>
  <si>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</si>
  <si>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</si>
  <si>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</si>
  <si>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</si>
  <si>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</si>
  <si>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</si>
  <si>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</si>
  <si>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</si>
  <si>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</si>
  <si>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</si>
  <si>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</si>
  <si>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</si>
  <si>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</si>
  <si>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</si>
  <si>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</si>
  <si>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</si>
  <si>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</si>
  <si>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</si>
  <si>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</si>
  <si>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</si>
  <si>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</si>
  <si>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</si>
  <si>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</si>
  <si>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</si>
  <si>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</si>
  <si>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</si>
  <si>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</si>
  <si>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</si>
  <si>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</si>
  <si>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</si>
  <si>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</si>
  <si>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</si>
  <si>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</si>
  <si>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</si>
  <si>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</si>
  <si>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</si>
  <si>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</si>
  <si>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</si>
  <si>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</si>
  <si>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</si>
  <si>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</si>
  <si>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</si>
  <si>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</si>
  <si>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</si>
  <si>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</si>
  <si>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</si>
  <si>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</si>
  <si>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</si>
  <si>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</si>
  <si>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</si>
  <si>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</si>
  <si>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</si>
  <si>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</si>
  <si>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</si>
  <si>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</si>
  <si>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</si>
  <si>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</si>
  <si>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</si>
  <si>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</si>
  <si>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</si>
  <si>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</si>
  <si>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</si>
  <si>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</si>
  <si>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</si>
  <si>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</si>
  <si>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</si>
  <si>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</si>
  <si>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</si>
  <si>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</si>
  <si>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</si>
  <si>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</si>
  <si>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</si>
  <si>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</si>
  <si>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</si>
  <si>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</si>
  <si>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</si>
  <si>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</si>
  <si>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</si>
  <si>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</si>
  <si>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</si>
  <si>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</si>
  <si>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</si>
  <si>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</si>
  <si>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</si>
  <si>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</si>
  <si>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</si>
  <si>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</si>
  <si>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</si>
  <si>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</si>
  <si>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</si>
  <si>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</si>
  <si>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</si>
  <si>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</si>
  <si>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</si>
  <si>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</si>
  <si>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</si>
  <si>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</si>
  <si>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</si>
  <si>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</si>
  <si>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</si>
  <si>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</si>
  <si>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</si>
  <si>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</si>
  <si>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</si>
  <si>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</si>
  <si>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</si>
  <si>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</si>
  <si>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</si>
  <si>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</si>
  <si>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</si>
  <si>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</si>
  <si>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</si>
  <si>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</si>
  <si>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</si>
  <si>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</si>
  <si>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</si>
  <si>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</si>
  <si>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</si>
  <si>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</si>
  <si>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</si>
  <si>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</si>
  <si>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</si>
  <si>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</si>
  <si>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</si>
  <si>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</si>
  <si>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</si>
  <si>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</si>
  <si>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</si>
  <si>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</si>
  <si>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</si>
  <si>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</si>
  <si>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</si>
  <si>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</si>
  <si>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</si>
  <si>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</si>
  <si>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</si>
  <si>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</si>
  <si>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</si>
  <si>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</si>
  <si>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</si>
  <si>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</si>
  <si>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</si>
  <si>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</si>
  <si>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</si>
  <si>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</si>
  <si>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</si>
  <si>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</si>
  <si>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</si>
  <si>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</si>
  <si>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</si>
  <si>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</si>
  <si>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</si>
  <si>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</si>
  <si>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</si>
  <si>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</si>
  <si>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</si>
  <si>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</si>
  <si>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</si>
  <si>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</si>
  <si>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</si>
  <si>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</si>
  <si>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</si>
  <si>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</si>
  <si>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</si>
  <si>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</si>
  <si>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</si>
  <si>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</si>
  <si>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</si>
  <si>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</si>
  <si>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</si>
  <si>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</si>
  <si>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</si>
  <si>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</si>
  <si>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</si>
  <si>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</si>
  <si>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</si>
  <si>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</si>
  <si>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</si>
  <si>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</si>
  <si>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</si>
  <si>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</si>
  <si>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</si>
  <si>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</si>
  <si>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</si>
  <si>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</si>
  <si>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</si>
  <si>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</si>
  <si>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</si>
  <si>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</si>
  <si>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</si>
  <si>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</si>
  <si>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</si>
  <si>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</si>
  <si>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</si>
  <si>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</si>
  <si>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</si>
  <si>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</si>
  <si>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</si>
  <si>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</si>
  <si>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</si>
  <si>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</si>
  <si>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</si>
  <si>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</si>
  <si>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</si>
  <si>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</si>
  <si>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</si>
  <si>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</si>
  <si>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</si>
  <si>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</si>
  <si>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</si>
  <si>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</si>
  <si>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</si>
  <si>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</si>
  <si>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</si>
  <si>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</si>
  <si>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</si>
  <si>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</si>
  <si>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</si>
  <si>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</si>
  <si>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</si>
  <si>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</si>
  <si>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</si>
  <si>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</si>
  <si>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</si>
  <si>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</si>
  <si>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</si>
  <si>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</si>
  <si>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</si>
  <si>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</si>
  <si>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</si>
  <si>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</si>
  <si>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</si>
  <si>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</si>
  <si>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</si>
  <si>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</si>
  <si>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</si>
  <si>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</si>
  <si>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</si>
  <si>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</si>
  <si>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</si>
  <si>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</si>
  <si>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</si>
  <si>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</si>
  <si>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</si>
  <si>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</si>
  <si>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</si>
  <si>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</si>
  <si>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</si>
  <si>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</si>
  <si>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</si>
  <si>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</si>
  <si>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</si>
  <si>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</si>
  <si>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</si>
  <si>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</si>
  <si>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</si>
  <si>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</si>
  <si>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</si>
  <si>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</si>
  <si>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</si>
  <si>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</si>
  <si>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</si>
  <si>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</si>
  <si>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</si>
  <si>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</si>
  <si>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</si>
  <si>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</si>
  <si>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</si>
  <si>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</si>
  <si>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</si>
  <si>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</si>
  <si>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</si>
  <si>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</si>
  <si>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</si>
  <si>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</si>
  <si>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</si>
  <si>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</si>
  <si>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</si>
  <si>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</si>
  <si>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</si>
  <si>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</si>
  <si>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</si>
  <si>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</si>
  <si>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</si>
  <si>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</si>
  <si>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</si>
  <si>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</si>
  <si>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</si>
  <si>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</si>
  <si>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</si>
  <si>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</si>
  <si>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</si>
  <si>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</si>
  <si>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</si>
  <si>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</si>
  <si>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</si>
  <si>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</si>
  <si>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</si>
  <si>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</si>
  <si>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</si>
  <si>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</si>
  <si>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</si>
  <si>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</si>
  <si>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</si>
  <si>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</si>
  <si>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</si>
  <si>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</si>
  <si>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</si>
  <si>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</si>
  <si>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</si>
  <si>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</si>
  <si>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</si>
  <si>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</si>
  <si>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</si>
  <si>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</si>
  <si>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</si>
  <si>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</si>
  <si>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</si>
  <si>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</si>
  <si>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</si>
  <si>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</si>
  <si>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</si>
  <si>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</si>
  <si>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</si>
  <si>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</si>
  <si>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</si>
  <si>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</si>
  <si>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</si>
  <si>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</si>
  <si>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</si>
  <si>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</si>
  <si>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</si>
  <si>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</si>
  <si>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</si>
  <si>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</si>
  <si>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</si>
  <si>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</si>
  <si>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</si>
  <si>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</si>
  <si>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</si>
  <si>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</si>
  <si>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</si>
  <si>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</si>
  <si>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</si>
  <si>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</si>
  <si>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</si>
  <si>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</si>
  <si>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</si>
  <si>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</si>
  <si>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</si>
  <si>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</si>
  <si>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</si>
  <si>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</si>
  <si>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</si>
  <si>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</si>
  <si>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</si>
  <si>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</si>
  <si>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</si>
  <si>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</si>
  <si>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</si>
  <si>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</si>
  <si>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</si>
  <si>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</si>
  <si>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</si>
  <si>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</si>
  <si>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</si>
  <si>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</si>
  <si>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</si>
  <si>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</si>
  <si>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</si>
  <si>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</si>
  <si>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</si>
  <si>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</si>
  <si>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</si>
  <si>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</si>
  <si>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</si>
  <si>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</si>
  <si>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</si>
  <si>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</si>
  <si>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</si>
  <si>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</si>
  <si>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</si>
  <si>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</si>
  <si>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</si>
  <si>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</si>
  <si>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</si>
  <si>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</si>
  <si>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</si>
  <si>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</si>
  <si>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</si>
  <si>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</si>
  <si>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</si>
  <si>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</si>
  <si>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</si>
  <si>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</si>
  <si>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</si>
  <si>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</si>
  <si>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</si>
  <si>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</si>
  <si>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</si>
  <si>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</si>
  <si>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</si>
  <si>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</si>
  <si>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</si>
  <si>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</si>
  <si>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</si>
  <si>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</si>
  <si>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</si>
  <si>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</si>
  <si>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</si>
  <si>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</si>
  <si>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</si>
  <si>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</si>
  <si>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</si>
  <si>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</si>
  <si>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</si>
  <si>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</si>
  <si>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</si>
  <si>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</si>
  <si>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</si>
  <si>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</si>
  <si>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</si>
  <si>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</si>
  <si>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</si>
  <si>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</si>
  <si>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</si>
  <si>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</si>
  <si>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</si>
  <si>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</si>
  <si>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</si>
  <si>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</si>
  <si>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</si>
  <si>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</si>
  <si>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</si>
  <si>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</si>
  <si>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</si>
  <si>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</si>
  <si>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</si>
  <si>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</si>
  <si>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</si>
  <si>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</si>
  <si>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</si>
  <si>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</si>
  <si>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</si>
  <si>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</si>
  <si>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</si>
  <si>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</si>
  <si>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</si>
  <si>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</si>
  <si>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</si>
  <si>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</si>
  <si>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</si>
  <si>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</si>
  <si>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</si>
  <si>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</si>
  <si>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</si>
  <si>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</si>
  <si>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</si>
  <si>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</si>
  <si>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</si>
  <si>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</si>
  <si>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</si>
  <si>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</si>
  <si>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</si>
  <si>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</si>
  <si>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</si>
  <si>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</si>
  <si>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</si>
  <si>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</si>
  <si>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</si>
  <si>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</si>
  <si>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</si>
  <si>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</si>
  <si>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</si>
  <si>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</si>
  <si>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</si>
  <si>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</si>
  <si>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</si>
  <si>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</si>
  <si>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</si>
  <si>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</si>
  <si>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</si>
  <si>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</si>
  <si>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</si>
  <si>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</si>
  <si>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</si>
  <si>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</si>
  <si>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</si>
  <si>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</si>
  <si>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</si>
  <si>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</si>
  <si>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</si>
  <si>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</si>
  <si>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</si>
  <si>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</si>
  <si>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</si>
  <si>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</si>
  <si>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</si>
  <si>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</si>
  <si>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</si>
  <si>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</si>
  <si>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</si>
  <si>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</si>
  <si>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</si>
  <si>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</si>
  <si>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</si>
  <si>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</si>
  <si>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</si>
  <si>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</si>
  <si>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</si>
  <si>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</si>
  <si>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</si>
  <si>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</si>
  <si>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</si>
  <si>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</si>
  <si>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</si>
  <si>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</si>
  <si>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</si>
  <si>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</si>
  <si>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</si>
  <si>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</si>
  <si>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</si>
  <si>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</si>
  <si>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</si>
  <si>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</si>
  <si>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</si>
  <si>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</si>
  <si>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</si>
  <si>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</si>
  <si>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</si>
  <si>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</si>
  <si>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</si>
  <si>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</si>
  <si>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</si>
  <si>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</si>
  <si>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</si>
  <si>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</si>
  <si>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</si>
  <si>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</si>
  <si>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</si>
  <si>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</si>
  <si>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</si>
  <si>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</si>
  <si>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</si>
  <si>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</si>
  <si>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</si>
  <si>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</si>
  <si>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</si>
  <si>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</si>
  <si>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</si>
  <si>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</si>
  <si>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</si>
  <si>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</si>
  <si>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</si>
  <si>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</si>
  <si>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</si>
  <si>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</si>
  <si>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</si>
  <si>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</si>
  <si>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</si>
  <si>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</si>
  <si>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</si>
  <si>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</si>
  <si>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</si>
  <si>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</si>
  <si>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</si>
  <si>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</si>
  <si>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</si>
  <si>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</si>
  <si>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</si>
  <si>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</si>
  <si>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</si>
  <si>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</si>
  <si>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</si>
  <si>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</si>
  <si>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</si>
  <si>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</si>
  <si>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</si>
  <si>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</si>
  <si>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</si>
  <si>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</si>
  <si>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</si>
  <si>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</si>
  <si>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</si>
  <si>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</si>
  <si>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</si>
  <si>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</si>
  <si>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</si>
  <si>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</si>
  <si>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</si>
  <si>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</si>
  <si>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</si>
  <si>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</si>
  <si>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</si>
  <si>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</si>
  <si>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</si>
  <si>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</si>
  <si>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</si>
  <si>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</si>
  <si>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</si>
  <si>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</si>
  <si>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</si>
  <si>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</si>
  <si>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</si>
  <si>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</si>
  <si>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</si>
  <si>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</si>
  <si>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</si>
  <si>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</si>
  <si>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</si>
  <si>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</si>
  <si>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</si>
  <si>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</si>
  <si>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</si>
  <si>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</si>
  <si>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</si>
  <si>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</si>
  <si>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</si>
  <si>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</si>
  <si>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</si>
  <si>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</si>
  <si>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</si>
  <si>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</si>
  <si>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</si>
  <si>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</si>
  <si>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</si>
  <si>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</si>
  <si>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</si>
  <si>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</si>
  <si>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</si>
  <si>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</si>
  <si>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</si>
  <si>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</si>
  <si>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</si>
  <si>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</si>
  <si>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</si>
  <si>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</si>
  <si>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</si>
  <si>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</si>
  <si>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</si>
  <si>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</si>
  <si>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</si>
  <si>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</si>
  <si>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</si>
  <si>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</si>
  <si>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</si>
  <si>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</si>
  <si>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</si>
  <si>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</si>
  <si>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</si>
  <si>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</si>
  <si>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</si>
  <si>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</si>
  <si>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</si>
  <si>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</si>
  <si>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</si>
  <si>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</si>
  <si>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</si>
  <si>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</si>
  <si>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</si>
  <si>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</si>
  <si>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</si>
  <si>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</si>
  <si>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</si>
  <si>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</si>
  <si>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</si>
  <si>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</si>
  <si>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</si>
  <si>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</si>
  <si>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</si>
  <si>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</si>
  <si>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</si>
  <si>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</si>
  <si>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</si>
  <si>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</si>
  <si>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</si>
  <si>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</si>
  <si>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</si>
  <si>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</si>
  <si>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</si>
  <si>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</si>
  <si>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</si>
  <si>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</si>
  <si>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</si>
  <si>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</si>
  <si>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</si>
  <si>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</si>
  <si>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</si>
  <si>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</si>
  <si>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</si>
  <si>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</si>
  <si>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</si>
  <si>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</si>
  <si>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</si>
  <si>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</si>
  <si>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</si>
  <si>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</si>
  <si>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</si>
  <si>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</si>
  <si>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</si>
  <si>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</si>
  <si>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</si>
  <si>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</si>
  <si>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</si>
  <si>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</si>
  <si>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</si>
  <si>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</si>
  <si>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</si>
  <si>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</si>
  <si>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</si>
  <si>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</si>
  <si>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</si>
  <si>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</si>
  <si>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</si>
  <si>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</si>
  <si>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</si>
  <si>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</si>
  <si>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</si>
  <si>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</si>
  <si>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</si>
  <si>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</si>
  <si>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</si>
  <si>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</si>
  <si>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</si>
  <si>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</si>
  <si>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</si>
  <si>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</si>
  <si>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</si>
  <si>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</si>
  <si>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</si>
  <si>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</si>
  <si>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</si>
  <si>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</si>
  <si>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</si>
  <si>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</si>
  <si>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</si>
  <si>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</si>
  <si>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</si>
  <si>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</si>
  <si>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</si>
  <si>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</si>
  <si>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</si>
  <si>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</si>
  <si>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</si>
  <si>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</si>
  <si>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</si>
  <si>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</si>
  <si>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</si>
  <si>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</si>
  <si>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</si>
  <si>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</si>
  <si>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</si>
  <si>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</si>
  <si>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</si>
  <si>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</si>
  <si>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</si>
  <si>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</si>
  <si>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</si>
  <si>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</si>
  <si>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</si>
  <si>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</si>
  <si>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</si>
  <si>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</si>
  <si>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</si>
  <si>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</si>
  <si>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</si>
  <si>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</si>
  <si>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</si>
  <si>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</si>
  <si>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</si>
  <si>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</si>
  <si>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</si>
  <si>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</si>
  <si>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</si>
  <si>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</si>
  <si>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</si>
  <si>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</si>
  <si>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</si>
  <si>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</si>
  <si>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</si>
  <si>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</si>
  <si>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</si>
  <si>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</si>
  <si>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</si>
  <si>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</si>
  <si>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</si>
  <si>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</si>
  <si>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</si>
  <si>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</si>
  <si>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</si>
  <si>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</si>
  <si>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</si>
  <si>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</si>
  <si>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</si>
  <si>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</si>
  <si>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</si>
  <si>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</si>
  <si>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</si>
  <si>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</si>
  <si>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</si>
  <si>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</si>
  <si>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</si>
  <si>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</si>
  <si>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</si>
  <si>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</si>
  <si>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</si>
  <si>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</si>
  <si>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</si>
  <si>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</si>
  <si>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</si>
  <si>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</si>
  <si>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</si>
  <si>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</si>
  <si>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</si>
  <si>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</si>
  <si>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</si>
  <si>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</si>
  <si>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</si>
  <si>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</si>
  <si>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</si>
  <si>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</si>
  <si>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</si>
  <si>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</si>
  <si>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</si>
  <si>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</si>
  <si>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</si>
  <si>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</si>
  <si>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</si>
  <si>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</si>
  <si>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</si>
  <si>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</si>
  <si>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</si>
  <si>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</si>
  <si>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</si>
  <si>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</si>
  <si>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</si>
  <si>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</si>
  <si>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</si>
  <si>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</si>
  <si>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</si>
  <si>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</si>
  <si>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</si>
  <si>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</si>
  <si>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</si>
  <si>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</si>
  <si>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</si>
  <si>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</si>
  <si>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</si>
  <si>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</si>
  <si>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</si>
  <si>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</si>
  <si>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</si>
  <si>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</si>
  <si>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</si>
  <si>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</si>
  <si>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</si>
  <si>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</si>
  <si>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</si>
  <si>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</si>
  <si>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</si>
  <si>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</si>
  <si>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</si>
  <si>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</si>
  <si>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</si>
  <si>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</si>
  <si>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</si>
  <si>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</si>
  <si>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</si>
  <si>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</si>
  <si>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</si>
  <si>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</si>
  <si>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</si>
  <si>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</si>
  <si>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</si>
  <si>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</si>
  <si>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</si>
  <si>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</si>
  <si>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</si>
  <si>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</si>
  <si>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</si>
  <si>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</si>
  <si>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</si>
  <si>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</si>
  <si>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</si>
  <si>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</si>
  <si>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</si>
  <si>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</si>
  <si>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</si>
  <si>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</si>
  <si>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</si>
  <si>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</si>
  <si>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</si>
  <si>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</si>
  <si>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</si>
  <si>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</si>
  <si>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</si>
  <si>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</si>
  <si>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</si>
  <si>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</si>
  <si>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</si>
  <si>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</si>
  <si>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</si>
  <si>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</si>
  <si>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</si>
  <si>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</si>
  <si>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</si>
  <si>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</si>
  <si>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</si>
  <si>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</si>
  <si>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</si>
  <si>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</si>
  <si>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</si>
  <si>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</si>
  <si>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</si>
  <si>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</si>
  <si>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</si>
  <si>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</si>
  <si>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</si>
  <si>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</si>
  <si>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</si>
  <si>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</si>
  <si>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</si>
  <si>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</si>
  <si>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</si>
  <si>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</si>
  <si>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</si>
  <si>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</si>
  <si>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</si>
  <si>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</si>
  <si>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</si>
  <si>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</si>
  <si>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</si>
  <si>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</si>
  <si>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</si>
  <si>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</si>
  <si>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</si>
  <si>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</si>
  <si>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</si>
  <si>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</si>
  <si>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</si>
  <si>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</si>
  <si>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</si>
  <si>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</si>
  <si>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</si>
  <si>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</si>
  <si>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</si>
  <si>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</si>
  <si>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</si>
  <si>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</si>
  <si>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</si>
  <si>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</si>
  <si>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</si>
  <si>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</si>
  <si>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</si>
  <si>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</si>
  <si>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</si>
  <si>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</si>
  <si>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</si>
  <si>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</si>
  <si>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</si>
  <si>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</si>
  <si>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</si>
  <si>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</si>
  <si>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</si>
  <si>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</si>
  <si>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</si>
  <si>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</si>
  <si>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</si>
  <si>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</si>
  <si>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</si>
  <si>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</si>
  <si>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</si>
  <si>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</si>
  <si>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</si>
  <si>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</si>
  <si>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</si>
  <si>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</si>
  <si>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</si>
  <si>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</si>
  <si>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</si>
  <si>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</si>
  <si>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</si>
  <si>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</si>
  <si>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</si>
  <si>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</si>
  <si>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</si>
  <si>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</si>
  <si>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</si>
  <si>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</si>
  <si>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</si>
  <si>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</si>
  <si>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</si>
  <si>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</si>
  <si>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</si>
  <si>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</si>
  <si>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</si>
  <si>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</si>
  <si>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</si>
  <si>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</si>
  <si>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</si>
  <si>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</si>
  <si>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</si>
  <si>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</si>
  <si>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</si>
  <si>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</si>
  <si>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</si>
  <si>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</si>
  <si>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</si>
  <si>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</si>
  <si>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</si>
  <si>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</si>
  <si>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</si>
  <si>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</si>
  <si>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</si>
  <si>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</si>
  <si>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</si>
  <si>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</si>
  <si>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</si>
  <si>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</si>
  <si>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</si>
  <si>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</si>
  <si>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</si>
  <si>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</si>
  <si>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</si>
  <si>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</si>
  <si>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</si>
  <si>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</si>
  <si>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</si>
  <si>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</si>
  <si>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</si>
  <si>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</si>
  <si>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</si>
  <si>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</si>
  <si>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</si>
  <si>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</si>
  <si>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</si>
  <si>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</si>
  <si>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</si>
  <si>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</si>
  <si>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</si>
  <si>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</si>
  <si>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</si>
  <si>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</si>
  <si>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</si>
  <si>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</si>
  <si>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</si>
  <si>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</si>
  <si>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</si>
  <si>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</si>
  <si>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</si>
  <si>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</si>
  <si>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</si>
  <si>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</si>
  <si>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</si>
  <si>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</si>
  <si>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</si>
  <si>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</si>
  <si>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</si>
  <si>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</si>
  <si>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</si>
  <si>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</si>
  <si>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</si>
  <si>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</si>
  <si>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</si>
  <si>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</si>
  <si>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</si>
  <si>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</si>
  <si>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</si>
  <si>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</si>
  <si>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</si>
  <si>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</si>
  <si>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</si>
  <si>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</si>
  <si>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</si>
  <si>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</si>
  <si>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</si>
  <si>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</si>
  <si>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</si>
  <si>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</si>
  <si>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</si>
  <si>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</si>
  <si>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</si>
  <si>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</si>
  <si>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</si>
  <si>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</si>
  <si>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</si>
  <si>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</si>
  <si>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</si>
  <si>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</si>
  <si>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</si>
  <si>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</si>
  <si>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</si>
  <si>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</si>
  <si>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</si>
  <si>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</si>
  <si>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</si>
  <si>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</si>
  <si>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</si>
  <si>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</si>
  <si>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</si>
  <si>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</si>
  <si>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</si>
  <si>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</si>
  <si>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</si>
  <si>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</si>
  <si>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</si>
  <si>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</si>
  <si>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</si>
  <si>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</si>
  <si>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</si>
  <si>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</si>
  <si>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</si>
  <si>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</si>
  <si>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</si>
  <si>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</si>
  <si>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</si>
  <si>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</si>
  <si>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</si>
  <si>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</si>
  <si>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</si>
  <si>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</si>
  <si>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</si>
  <si>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</si>
  <si>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</si>
  <si>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</si>
  <si>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</si>
  <si>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</si>
  <si>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</si>
  <si>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</si>
  <si>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</si>
  <si>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</si>
  <si>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</si>
  <si>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</si>
  <si>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</si>
  <si>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</si>
  <si>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</si>
  <si>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</si>
  <si>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</si>
  <si>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</si>
  <si>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</si>
  <si>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</si>
  <si>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</si>
  <si>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</si>
  <si>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</si>
  <si>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</si>
  <si>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</si>
  <si>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</si>
  <si>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</si>
  <si>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</si>
  <si>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</si>
  <si>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</si>
  <si>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</si>
  <si>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</si>
  <si>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</si>
  <si>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</si>
  <si>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</si>
  <si>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</si>
  <si>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</si>
  <si>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</si>
  <si>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</si>
  <si>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</si>
  <si>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</si>
  <si>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</si>
  <si>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</si>
  <si>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</si>
  <si>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</si>
  <si>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</si>
  <si>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</si>
  <si>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</si>
  <si>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</si>
  <si>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</si>
  <si>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</si>
  <si>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</si>
  <si>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</si>
  <si>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</si>
  <si>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</si>
  <si>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</si>
  <si>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</si>
  <si>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</si>
  <si>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</si>
  <si>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</si>
  <si>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</si>
  <si>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</si>
  <si>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</si>
  <si>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</si>
  <si>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</si>
  <si>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</si>
  <si>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</si>
  <si>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</si>
  <si>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</si>
  <si>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</si>
  <si>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</si>
  <si>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</si>
  <si>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</si>
  <si>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</si>
  <si>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</si>
  <si>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</si>
  <si>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</si>
  <si>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</si>
  <si>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</si>
  <si>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</si>
  <si>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</si>
  <si>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</si>
  <si>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</si>
  <si>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</si>
  <si>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</si>
  <si>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</si>
  <si>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</si>
  <si>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</si>
  <si>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</si>
  <si>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</si>
  <si>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</si>
  <si>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</si>
  <si>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</si>
  <si>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</si>
  <si>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</si>
  <si>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</si>
  <si>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</si>
  <si>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</si>
  <si>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</si>
  <si>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</si>
  <si>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</si>
  <si>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</si>
  <si>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</si>
  <si>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</si>
  <si>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</si>
  <si>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</si>
  <si>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</si>
  <si>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</si>
  <si>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</si>
  <si>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</si>
  <si>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</si>
  <si>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</si>
  <si>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</si>
  <si>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</si>
  <si>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</si>
  <si>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</si>
  <si>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</si>
  <si>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</si>
  <si>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</si>
  <si>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</si>
  <si>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</si>
  <si>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</si>
  <si>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</si>
  <si>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</si>
  <si>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</si>
  <si>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</si>
  <si>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</si>
  <si>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</si>
  <si>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</si>
  <si>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</si>
  <si>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</si>
  <si>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</si>
  <si>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</si>
  <si>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</si>
  <si>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</si>
  <si>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</si>
  <si>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</si>
  <si>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</si>
  <si>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</si>
  <si>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</si>
  <si>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</si>
  <si>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</si>
  <si>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</si>
  <si>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</si>
  <si>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</si>
  <si>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</si>
  <si>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</si>
  <si>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</si>
  <si>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</si>
  <si>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</si>
  <si>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</si>
  <si>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</si>
  <si>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</si>
  <si>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</si>
  <si>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</si>
  <si>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</si>
  <si>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</si>
  <si>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</si>
  <si>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</si>
  <si>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</si>
  <si>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</si>
  <si>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</si>
  <si>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</si>
  <si>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</si>
  <si>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</si>
  <si>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</si>
  <si>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</si>
  <si>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</si>
  <si>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</si>
  <si>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</si>
  <si>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</si>
  <si>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</si>
  <si>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</si>
  <si>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</si>
  <si>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</si>
  <si>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</si>
  <si>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</si>
  <si>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</si>
  <si>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</si>
  <si>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</si>
  <si>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</si>
  <si>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</si>
  <si>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</si>
  <si>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</si>
  <si>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</si>
  <si>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</si>
  <si>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</si>
  <si>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</si>
  <si>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</si>
  <si>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</si>
  <si>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</si>
  <si>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</si>
  <si>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</si>
  <si>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</si>
  <si>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</si>
  <si>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</si>
  <si>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</si>
  <si>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</si>
  <si>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</si>
  <si>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</si>
  <si>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</si>
  <si>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</si>
  <si>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</si>
  <si>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</si>
  <si>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</si>
  <si>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</si>
  <si>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</si>
  <si>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</si>
  <si>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</si>
  <si>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</si>
  <si>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</si>
  <si>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</si>
  <si>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</si>
  <si>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</si>
  <si>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</si>
  <si>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</si>
  <si>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</si>
  <si>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</si>
  <si>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</si>
  <si>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</si>
  <si>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</si>
  <si>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</si>
  <si>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</si>
  <si>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</si>
  <si>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</si>
  <si>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</si>
  <si>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</si>
  <si>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</si>
  <si>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</si>
  <si>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</si>
  <si>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</si>
  <si>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</si>
  <si>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</si>
  <si>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</si>
  <si>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</si>
  <si>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</si>
  <si>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</si>
  <si>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</si>
  <si>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</si>
  <si>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</si>
  <si>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</si>
  <si>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</si>
  <si>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</si>
  <si>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</si>
  <si>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</si>
  <si>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</si>
  <si>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</si>
  <si>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</si>
  <si>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</si>
  <si>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</si>
  <si>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</si>
  <si>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</si>
  <si>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</si>
  <si>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</si>
  <si>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</si>
  <si>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</si>
  <si>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</si>
  <si>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</si>
  <si>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</si>
  <si>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</si>
  <si>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</si>
  <si>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</si>
  <si>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</si>
  <si>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</si>
  <si>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</si>
  <si>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</si>
  <si>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</si>
  <si>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</si>
  <si>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</si>
  <si>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</si>
  <si>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</si>
  <si>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</si>
  <si>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</si>
  <si>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</si>
  <si>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</si>
  <si>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</si>
  <si>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</si>
  <si>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</si>
  <si>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</si>
  <si>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</si>
  <si>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</si>
  <si>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</si>
  <si>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</si>
  <si>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</si>
  <si>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</si>
  <si>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</si>
  <si>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</si>
  <si>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</si>
  <si>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</si>
  <si>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</si>
  <si>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</si>
  <si>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</si>
  <si>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</si>
  <si>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</si>
  <si>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</si>
  <si>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</si>
  <si>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</si>
  <si>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</si>
  <si>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</si>
  <si>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</si>
  <si>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</si>
  <si>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</si>
  <si>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</si>
  <si>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</si>
  <si>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</si>
  <si>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</si>
  <si>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</si>
  <si>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</si>
  <si>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</si>
  <si>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</si>
  <si>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</si>
  <si>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</si>
  <si>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</si>
  <si>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</si>
  <si>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</si>
  <si>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</si>
  <si>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</si>
  <si>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</si>
  <si>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</si>
  <si>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</si>
  <si>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</si>
  <si>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</si>
  <si>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</si>
  <si>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</si>
  <si>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</si>
  <si>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</si>
  <si>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</si>
  <si>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</si>
  <si>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</si>
  <si>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</si>
  <si>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</si>
  <si>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</si>
  <si>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</si>
  <si>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</si>
  <si>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</si>
  <si>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</si>
  <si>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</si>
  <si>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</si>
  <si>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</si>
  <si>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</si>
  <si>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</si>
  <si>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</si>
  <si>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</si>
  <si>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</si>
  <si>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</si>
  <si>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</si>
  <si>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</si>
  <si>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</si>
  <si>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</si>
  <si>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</si>
  <si>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</si>
  <si>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</si>
  <si>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</si>
  <si>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</si>
  <si>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</si>
  <si>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</si>
  <si>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</si>
  <si>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</si>
  <si>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</si>
  <si>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</si>
  <si>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</si>
  <si>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</si>
  <si>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</si>
  <si>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</si>
  <si>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</si>
  <si>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</si>
  <si>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</si>
  <si>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</si>
  <si>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</si>
  <si>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</si>
  <si>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</si>
  <si>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</si>
  <si>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</si>
  <si>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</si>
  <si>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</si>
  <si>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</si>
  <si>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</si>
  <si>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</si>
  <si>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</si>
  <si>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</si>
  <si>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</si>
  <si>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</si>
  <si>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</si>
  <si>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</si>
  <si>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</si>
  <si>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</si>
  <si>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</si>
  <si>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</si>
  <si>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</si>
  <si>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</si>
  <si>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</si>
  <si>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</si>
  <si>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</si>
  <si>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</si>
  <si>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</si>
  <si>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</si>
  <si>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</si>
  <si>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</si>
  <si>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</si>
  <si>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</si>
  <si>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</si>
  <si>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</si>
  <si>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</si>
  <si>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</si>
  <si>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</si>
  <si>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</si>
  <si>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</si>
  <si>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</si>
  <si>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</si>
  <si>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</si>
  <si>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</si>
  <si>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</si>
  <si>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</si>
  <si>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</si>
  <si>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</si>
  <si>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</si>
  <si>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</si>
  <si>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</si>
  <si>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</si>
  <si>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</si>
  <si>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</si>
  <si>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</si>
  <si>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</si>
  <si>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</si>
  <si>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</si>
  <si>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</si>
  <si>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</si>
  <si>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</si>
  <si>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</si>
  <si>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</si>
  <si>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</si>
  <si>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</si>
  <si>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</si>
  <si>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</si>
  <si>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</si>
  <si>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</si>
  <si>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</si>
  <si>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</si>
  <si>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</si>
  <si>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</si>
  <si>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</si>
  <si>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</si>
  <si>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</si>
  <si>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</si>
  <si>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</si>
  <si>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</si>
  <si>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</si>
  <si>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</si>
  <si>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</si>
  <si>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</si>
  <si>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</si>
  <si>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</si>
  <si>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</si>
  <si>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</si>
  <si>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</si>
  <si>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</si>
  <si>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</si>
  <si>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</si>
  <si>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</si>
  <si>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</si>
  <si>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</si>
  <si>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</si>
  <si>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</si>
  <si>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</si>
  <si>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</si>
  <si>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</si>
  <si>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</si>
  <si>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</si>
  <si>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</si>
  <si>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</si>
  <si>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</si>
  <si>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</si>
  <si>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</si>
  <si>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</si>
  <si>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</si>
  <si>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</si>
  <si>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</si>
  <si>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</si>
  <si>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</si>
  <si>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</si>
  <si>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</si>
  <si>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</si>
  <si>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</si>
  <si>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</si>
  <si>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</si>
  <si>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</si>
  <si>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</si>
  <si>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</si>
  <si>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</si>
  <si>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</si>
  <si>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</si>
  <si>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</si>
  <si>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</si>
  <si>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</si>
  <si>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</si>
  <si>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</si>
  <si>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</si>
  <si>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</si>
  <si>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</si>
  <si>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</si>
  <si>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</si>
  <si>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</si>
  <si>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</si>
  <si>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</si>
  <si>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</si>
  <si>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</si>
  <si>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</si>
  <si>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</si>
  <si>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</si>
  <si>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</si>
  <si>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</si>
  <si>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</si>
  <si>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</si>
  <si>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</si>
  <si>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</si>
  <si>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</si>
  <si>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</si>
  <si>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</si>
  <si>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</si>
  <si>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</si>
  <si>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</si>
  <si>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</si>
  <si>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</si>
  <si>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</si>
  <si>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</si>
  <si>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</si>
  <si>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</si>
  <si>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</si>
  <si>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</si>
  <si>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</si>
  <si>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</si>
  <si>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</si>
  <si>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</si>
  <si>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</si>
  <si>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</si>
  <si>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</si>
  <si>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</si>
  <si>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</si>
  <si>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</si>
  <si>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</si>
  <si>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</si>
  <si>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</si>
  <si>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</si>
  <si>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</si>
  <si>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</si>
  <si>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</si>
  <si>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</si>
  <si>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</si>
  <si>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</si>
  <si>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</si>
  <si>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</si>
  <si>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</si>
  <si>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</si>
  <si>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</si>
  <si>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</si>
  <si>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</si>
  <si>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</si>
  <si>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</si>
  <si>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</si>
  <si>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</si>
  <si>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</si>
  <si>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</si>
  <si>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</si>
  <si>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</si>
  <si>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</si>
  <si>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</si>
  <si>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</si>
  <si>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</si>
  <si>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</si>
  <si>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</si>
  <si>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</si>
  <si>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</si>
  <si>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</si>
  <si>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</si>
  <si>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</si>
  <si>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</si>
  <si>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</si>
  <si>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</si>
  <si>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</si>
  <si>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</si>
  <si>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</si>
  <si>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</si>
  <si>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</si>
  <si>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</si>
  <si>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</si>
  <si>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</si>
  <si>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</si>
  <si>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</si>
  <si>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</si>
  <si>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</si>
  <si>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</si>
  <si>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</si>
  <si>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</si>
  <si>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</si>
  <si>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</si>
  <si>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</si>
  <si>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</si>
  <si>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</si>
  <si>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</si>
  <si>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</si>
  <si>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</si>
  <si>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</si>
  <si>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</si>
  <si>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</si>
  <si>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</si>
  <si>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</si>
  <si>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</si>
  <si>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</si>
  <si>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</si>
  <si>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</si>
  <si>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</si>
  <si>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</si>
  <si>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</si>
  <si>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</si>
  <si>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</si>
  <si>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</si>
  <si>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</si>
  <si>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</si>
  <si>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</si>
  <si>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</si>
  <si>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</si>
  <si>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</si>
  <si>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</si>
  <si>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</si>
  <si>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</si>
  <si>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</si>
  <si>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</si>
  <si>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</si>
  <si>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</si>
  <si>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</si>
  <si>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</si>
  <si>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</si>
  <si>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</si>
  <si>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</si>
  <si>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</si>
  <si>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</si>
  <si>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</si>
  <si>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</si>
  <si>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</si>
  <si>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</si>
  <si>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</si>
  <si>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</si>
  <si>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</si>
  <si>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</si>
  <si>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</si>
  <si>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</si>
  <si>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</si>
  <si>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</si>
  <si>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</si>
  <si>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</si>
  <si>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</si>
  <si>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</si>
  <si>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</si>
  <si>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</si>
  <si>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</si>
  <si>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</si>
  <si>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</si>
  <si>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</si>
  <si>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</si>
  <si>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</si>
  <si>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</si>
  <si>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</si>
  <si>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</si>
  <si>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</si>
  <si>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</si>
  <si>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</si>
  <si>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</si>
  <si>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</si>
  <si>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</si>
  <si>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</si>
  <si>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</si>
  <si>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</si>
  <si>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</si>
  <si>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</si>
  <si>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</si>
  <si>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</si>
  <si>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</si>
  <si>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</si>
  <si>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</si>
  <si>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</si>
  <si>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</si>
  <si>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</si>
  <si>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</si>
  <si>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</si>
  <si>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</si>
  <si>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</si>
  <si>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</si>
  <si>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</si>
  <si>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</si>
  <si>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</si>
  <si>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</si>
  <si>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</si>
  <si>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</si>
  <si>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</si>
  <si>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</si>
  <si>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</si>
  <si>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</si>
  <si>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</si>
  <si>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</si>
  <si>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</si>
  <si>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</si>
  <si>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</si>
  <si>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</si>
  <si>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</si>
  <si>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</si>
  <si>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</si>
  <si>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</si>
  <si>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</si>
  <si>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</si>
  <si>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</si>
  <si>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</si>
  <si>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</si>
  <si>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</si>
  <si>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</si>
  <si>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</si>
  <si>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</si>
  <si>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</si>
  <si>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</si>
  <si>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</si>
  <si>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</si>
  <si>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</si>
  <si>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</si>
  <si>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</si>
  <si>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</si>
  <si>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</si>
  <si>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</si>
  <si>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</si>
  <si>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</si>
  <si>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</si>
  <si>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</si>
  <si>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</si>
  <si>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</si>
  <si>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</si>
  <si>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</si>
  <si>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</si>
  <si>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</si>
  <si>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</si>
  <si>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</si>
  <si>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</si>
  <si>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</si>
  <si>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</si>
  <si>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</si>
  <si>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</si>
  <si>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</si>
  <si>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</si>
  <si>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</si>
  <si>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</si>
  <si>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</si>
  <si>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</si>
  <si>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</si>
  <si>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</si>
  <si>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</si>
  <si>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</si>
  <si>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</si>
  <si>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</si>
  <si>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</si>
  <si>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</si>
  <si>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</si>
  <si>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</si>
  <si>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</si>
  <si>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</si>
  <si>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</si>
  <si>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</si>
  <si>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</si>
  <si>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</si>
  <si>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</si>
  <si>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</si>
  <si>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</si>
  <si>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</si>
  <si>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</si>
  <si>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</si>
  <si>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</si>
  <si>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</si>
  <si>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</si>
  <si>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</si>
  <si>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</si>
  <si>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</si>
  <si>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</si>
  <si>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</si>
  <si>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</si>
  <si>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</si>
  <si>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</si>
  <si>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</si>
  <si>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</si>
  <si>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</si>
  <si>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</si>
  <si>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</si>
  <si>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</si>
  <si>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</si>
  <si>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</si>
  <si>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</si>
  <si>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</si>
  <si>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</si>
  <si>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</si>
  <si>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</si>
  <si>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</si>
  <si>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</si>
  <si>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</si>
  <si>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</si>
  <si>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</si>
  <si>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</si>
  <si>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</si>
  <si>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</si>
  <si>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</si>
  <si>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</si>
  <si>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</si>
  <si>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</si>
  <si>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</si>
  <si>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</si>
  <si>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</si>
  <si>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</si>
  <si>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</si>
  <si>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</si>
  <si>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</si>
  <si>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</si>
  <si>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</si>
  <si>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</si>
  <si>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</si>
  <si>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</si>
  <si>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</si>
  <si>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</si>
  <si>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</si>
  <si>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</si>
  <si>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</si>
  <si>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</si>
  <si>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</si>
  <si>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</si>
  <si>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</si>
  <si>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</si>
  <si>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</si>
  <si>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</si>
  <si>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</si>
  <si>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</si>
  <si>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</si>
  <si>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</si>
  <si>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</si>
  <si>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</si>
  <si>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</si>
  <si>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</si>
  <si>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</si>
  <si>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</si>
  <si>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</si>
  <si>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</si>
  <si>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</si>
  <si>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</si>
  <si>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</si>
  <si>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</si>
  <si>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</si>
  <si>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</si>
  <si>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</si>
  <si>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</si>
  <si>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</si>
  <si>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</si>
  <si>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</si>
  <si>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</si>
  <si>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</si>
  <si>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</si>
  <si>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</si>
  <si>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</si>
  <si>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</si>
  <si>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</si>
  <si>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</si>
  <si>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</si>
  <si>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</si>
  <si>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</si>
  <si>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</si>
  <si>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</si>
  <si>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</si>
  <si>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</si>
  <si>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</si>
  <si>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</si>
  <si>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</si>
  <si>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</si>
  <si>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</si>
  <si>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</si>
  <si>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</si>
  <si>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</si>
  <si>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</si>
  <si>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</si>
  <si>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</si>
  <si>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</si>
  <si>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</si>
  <si>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</si>
  <si>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</si>
  <si>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</si>
  <si>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</si>
  <si>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</si>
  <si>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</si>
  <si>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</si>
  <si>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</si>
  <si>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</si>
  <si>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</si>
  <si>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</si>
  <si>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</si>
  <si>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</si>
  <si>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</si>
  <si>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</si>
  <si>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</si>
  <si>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</si>
  <si>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</si>
  <si>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</si>
  <si>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</si>
  <si>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</si>
  <si>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</si>
  <si>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</si>
  <si>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</si>
  <si>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</si>
  <si>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</si>
  <si>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</si>
  <si>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</si>
  <si>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</si>
  <si>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</si>
  <si>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</si>
  <si>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</si>
  <si>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</si>
  <si>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</si>
  <si>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</si>
  <si>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</si>
  <si>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</si>
  <si>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</si>
  <si>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</si>
  <si>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</si>
  <si>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</si>
  <si>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</si>
  <si>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</si>
  <si>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</si>
  <si>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</si>
  <si>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</si>
  <si>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</si>
  <si>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</si>
  <si>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</si>
  <si>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</si>
  <si>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</si>
  <si>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</si>
  <si>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</si>
  <si>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</si>
  <si>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</si>
  <si>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</si>
  <si>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</si>
  <si>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</si>
  <si>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</si>
  <si>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</si>
  <si>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</si>
  <si>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</si>
  <si>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</si>
  <si>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</si>
  <si>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</si>
  <si>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</si>
  <si>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</si>
  <si>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</si>
  <si>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</si>
  <si>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</si>
  <si>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</si>
  <si>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</si>
  <si>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</si>
  <si>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</si>
  <si>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</si>
  <si>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</si>
  <si>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</si>
  <si>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</si>
  <si>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</si>
  <si>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</si>
  <si>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</si>
  <si>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</si>
  <si>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</si>
  <si>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</si>
  <si>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</si>
  <si>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</si>
  <si>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</si>
  <si>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</si>
  <si>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</si>
  <si>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</si>
  <si>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</si>
  <si>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</si>
  <si>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</si>
  <si>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</si>
  <si>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</si>
  <si>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</si>
  <si>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</si>
  <si>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</si>
  <si>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</si>
  <si>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</si>
  <si>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</si>
  <si>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</si>
  <si>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</si>
  <si>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</si>
  <si>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</si>
  <si>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</si>
  <si>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</si>
  <si>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</si>
  <si>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</si>
  <si>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</si>
  <si>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</si>
  <si>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</si>
  <si>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</si>
  <si>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</si>
  <si>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</si>
  <si>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</si>
  <si>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</si>
  <si>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</si>
  <si>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</si>
  <si>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</si>
  <si>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</si>
  <si>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</si>
  <si>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</si>
  <si>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</si>
  <si>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</si>
  <si>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</si>
  <si>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</si>
  <si>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</si>
  <si>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</si>
  <si>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</si>
  <si>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</si>
  <si>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</si>
  <si>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</si>
  <si>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</si>
  <si>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</si>
  <si>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</si>
  <si>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</si>
  <si>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</si>
  <si>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</si>
  <si>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</si>
  <si>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</si>
  <si>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</si>
  <si>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</si>
  <si>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</si>
  <si>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</si>
  <si>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</si>
  <si>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</si>
  <si>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</si>
  <si>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</si>
  <si>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</si>
  <si>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</si>
  <si>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</si>
  <si>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</si>
  <si>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</si>
  <si>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</si>
  <si>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</si>
  <si>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</si>
  <si>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</si>
  <si>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</si>
  <si>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</si>
  <si>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</si>
  <si>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</si>
  <si>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</si>
  <si>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</si>
  <si>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</si>
  <si>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</si>
  <si>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</si>
  <si>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</si>
  <si>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</si>
  <si>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</si>
  <si>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</si>
  <si>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</si>
  <si>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</si>
  <si>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</si>
  <si>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</si>
  <si>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</si>
  <si>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</si>
  <si>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</si>
  <si>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</si>
  <si>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</si>
  <si>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</si>
  <si>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</si>
  <si>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</si>
  <si>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</si>
  <si>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</si>
  <si>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</si>
  <si>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</si>
  <si>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</si>
  <si>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</si>
  <si>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</si>
  <si>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</si>
  <si>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</si>
  <si>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</si>
  <si>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</si>
  <si>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</si>
  <si>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</si>
  <si>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</si>
  <si>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</si>
  <si>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</si>
  <si>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</si>
  <si>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</si>
  <si>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</si>
  <si>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</si>
  <si>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</si>
  <si>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</si>
  <si>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</si>
  <si>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</si>
  <si>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</si>
  <si>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</si>
  <si>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</si>
  <si>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</si>
  <si>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</si>
  <si>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</si>
  <si>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</si>
  <si>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</si>
  <si>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</si>
  <si>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</si>
  <si>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</si>
  <si>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</si>
  <si>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</si>
  <si>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</si>
  <si>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</si>
  <si>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</si>
  <si>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</si>
  <si>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</si>
  <si>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</si>
  <si>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</si>
  <si>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</si>
  <si>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</si>
  <si>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</si>
  <si>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</si>
  <si>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</si>
  <si>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</si>
  <si>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</si>
  <si>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</si>
  <si>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</si>
  <si>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</si>
  <si>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</si>
  <si>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</si>
  <si>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</si>
  <si>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</si>
  <si>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</si>
  <si>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</si>
  <si>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</si>
  <si>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</si>
  <si>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</si>
  <si>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</si>
  <si>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</si>
  <si>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</si>
  <si>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</si>
  <si>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</si>
  <si>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</si>
  <si>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</si>
  <si>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</si>
  <si>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</si>
  <si>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</si>
  <si>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</si>
  <si>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</si>
  <si>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</si>
  <si>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</si>
  <si>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</si>
  <si>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</si>
  <si>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</si>
  <si>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</si>
  <si>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</si>
  <si>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</si>
  <si>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</si>
  <si>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</si>
  <si>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</si>
  <si>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</si>
  <si>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</si>
  <si>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</si>
  <si>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</si>
  <si>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</si>
  <si>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</si>
  <si>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</si>
  <si>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</si>
  <si>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</si>
  <si>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</si>
  <si>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</si>
  <si>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</si>
  <si>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</si>
  <si>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</si>
  <si>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</si>
  <si>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</si>
  <si>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</si>
  <si>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</si>
  <si>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</si>
  <si>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</si>
  <si>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</si>
  <si>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</si>
  <si>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</si>
  <si>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</si>
  <si>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</si>
  <si>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</si>
  <si>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</si>
  <si>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</si>
  <si>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</si>
  <si>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</si>
  <si>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</si>
  <si>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</si>
  <si>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</si>
  <si>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</si>
  <si>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</si>
  <si>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</si>
  <si>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</si>
  <si>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</si>
  <si>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</si>
  <si>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</si>
  <si>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</si>
  <si>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</si>
  <si>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</si>
  <si>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</si>
  <si>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</si>
  <si>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</si>
  <si>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</si>
  <si>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</si>
  <si>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</si>
  <si>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</si>
  <si>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</si>
  <si>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</si>
  <si>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</si>
  <si>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</si>
  <si>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</si>
  <si>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</si>
  <si>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</si>
  <si>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</si>
  <si>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</si>
  <si>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</si>
  <si>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</si>
  <si>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</si>
  <si>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</si>
  <si>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</si>
  <si>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</si>
  <si>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</si>
  <si>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</si>
  <si>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</si>
  <si>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</si>
  <si>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</si>
  <si>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</si>
  <si>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</si>
  <si>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</si>
  <si>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</si>
  <si>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</si>
  <si>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</si>
  <si>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</si>
  <si>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</si>
  <si>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</si>
  <si>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</si>
  <si>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</si>
  <si>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</si>
  <si>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</si>
  <si>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</si>
  <si>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</si>
  <si>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</si>
  <si>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</si>
  <si>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</si>
  <si>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</si>
  <si>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</si>
  <si>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</si>
  <si>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</si>
  <si>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</si>
  <si>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</si>
  <si>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</si>
  <si>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</si>
  <si>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</si>
  <si>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</si>
  <si>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</si>
  <si>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</si>
  <si>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</si>
  <si>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</si>
  <si>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</si>
  <si>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</si>
  <si>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</si>
  <si>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</si>
  <si>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</si>
  <si>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</si>
  <si>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</si>
  <si>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</si>
  <si>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</si>
  <si>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</si>
  <si>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</si>
  <si>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</si>
  <si>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</si>
  <si>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</si>
  <si>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</si>
  <si>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</si>
  <si>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</si>
  <si>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</si>
  <si>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</si>
  <si>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</si>
  <si>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</si>
  <si>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</si>
  <si>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</si>
  <si>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</si>
  <si>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</si>
  <si>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</si>
  <si>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</si>
  <si>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</si>
  <si>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</si>
  <si>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</si>
  <si>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</si>
  <si>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</si>
  <si>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</si>
  <si>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</si>
  <si>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</si>
  <si>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</si>
  <si>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</si>
  <si>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</si>
  <si>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</si>
  <si>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</si>
  <si>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</si>
  <si>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</si>
  <si>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</si>
  <si>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</si>
  <si>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</si>
  <si>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</si>
  <si>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</si>
  <si>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</si>
  <si>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</si>
  <si>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</si>
  <si>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</si>
  <si>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</si>
  <si>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</si>
  <si>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</si>
  <si>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</si>
  <si>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</si>
  <si>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</si>
  <si>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</si>
  <si>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</si>
  <si>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</si>
  <si>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</si>
  <si>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</si>
  <si>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</si>
  <si>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</si>
  <si>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</si>
  <si>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</si>
  <si>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</si>
  <si>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</si>
  <si>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</si>
  <si>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</si>
  <si>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</si>
  <si>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</si>
  <si>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</si>
  <si>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</si>
  <si>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</si>
  <si>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</si>
  <si>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</si>
  <si>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</si>
  <si>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</si>
  <si>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</si>
  <si>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</si>
  <si>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</si>
  <si>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</si>
  <si>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</si>
  <si>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</si>
  <si>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</si>
  <si>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</si>
  <si>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</si>
  <si>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</si>
  <si>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</si>
  <si>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</si>
  <si>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</si>
  <si>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</si>
  <si>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</si>
  <si>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</si>
  <si>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</si>
  <si>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</si>
  <si>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</si>
  <si>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</si>
  <si>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</si>
  <si>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</si>
  <si>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</si>
  <si>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</si>
  <si>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</si>
  <si>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</si>
  <si>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</si>
  <si>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</si>
  <si>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</si>
  <si>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</si>
  <si>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</si>
  <si>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</si>
  <si>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</si>
  <si>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</si>
  <si>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</si>
  <si>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</si>
  <si>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</si>
  <si>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</si>
  <si>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</si>
  <si>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</si>
  <si>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</si>
  <si>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</si>
  <si>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</si>
  <si>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</si>
  <si>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</si>
  <si>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</si>
  <si>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</si>
  <si>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</si>
  <si>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</si>
  <si>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</si>
  <si>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</si>
  <si>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</si>
  <si>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</si>
  <si>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</si>
  <si>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</si>
  <si>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</si>
  <si>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</si>
  <si>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</si>
  <si>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</si>
  <si>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</si>
  <si>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</si>
  <si>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</si>
  <si>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</si>
  <si>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</si>
  <si>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</si>
  <si>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</si>
  <si>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</si>
  <si>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</si>
  <si>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</si>
  <si>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</si>
  <si>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</si>
  <si>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</si>
  <si>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</si>
  <si>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</si>
  <si>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</si>
  <si>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</si>
  <si>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</si>
  <si>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</si>
  <si>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</si>
  <si>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</si>
  <si>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</si>
  <si>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</si>
  <si>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</si>
  <si>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</si>
  <si>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</si>
  <si>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</si>
  <si>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</si>
  <si>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</si>
  <si>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</si>
  <si>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</si>
  <si>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</si>
  <si>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</si>
  <si>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</si>
  <si>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</si>
  <si>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</si>
  <si>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</si>
  <si>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</si>
  <si>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</si>
  <si>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</si>
  <si>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</si>
  <si>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</si>
  <si>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</si>
  <si>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</si>
  <si>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</si>
  <si>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</si>
  <si>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</si>
  <si>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</si>
  <si>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</si>
  <si>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</si>
  <si>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</si>
  <si>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</si>
  <si>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</si>
  <si>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</si>
  <si>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</si>
  <si>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</si>
  <si>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</si>
  <si>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</si>
  <si>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</si>
  <si>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</si>
  <si>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</si>
  <si>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</si>
  <si>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</si>
  <si>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</si>
  <si>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</si>
  <si>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</si>
  <si>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</si>
  <si>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</si>
  <si>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</si>
  <si>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</si>
  <si>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</si>
  <si>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</si>
  <si>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</si>
  <si>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</si>
  <si>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</si>
  <si>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</si>
  <si>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</si>
  <si>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</si>
  <si>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</si>
  <si>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</si>
  <si>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</si>
  <si>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</si>
  <si>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</si>
  <si>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</si>
  <si>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</si>
  <si>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</si>
  <si>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</si>
  <si>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</si>
  <si>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</si>
  <si>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</si>
  <si>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</si>
  <si>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</si>
  <si>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</si>
  <si>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</si>
  <si>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</si>
  <si>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</si>
  <si>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</si>
  <si>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</si>
  <si>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</si>
  <si>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</si>
  <si>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</si>
  <si>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</si>
  <si>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</si>
  <si>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</si>
  <si>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</si>
  <si>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</si>
  <si>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</si>
  <si>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</si>
  <si>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</si>
  <si>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</si>
  <si>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</si>
  <si>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</si>
  <si>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</si>
  <si>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</si>
  <si>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</si>
  <si>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</si>
  <si>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</si>
  <si>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</si>
  <si>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</si>
  <si>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</si>
  <si>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</si>
  <si>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</si>
  <si>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</si>
  <si>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</si>
  <si>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</si>
  <si>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</si>
  <si>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</si>
  <si>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</si>
  <si>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</si>
  <si>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</si>
  <si>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</si>
  <si>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</si>
  <si>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</si>
  <si>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</si>
  <si>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</si>
  <si>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</si>
  <si>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</si>
  <si>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</si>
  <si>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</si>
  <si>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</si>
  <si>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</si>
  <si>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</si>
  <si>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</si>
  <si>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</si>
  <si>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</si>
  <si>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</si>
  <si>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</si>
  <si>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</si>
  <si>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</si>
  <si>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</si>
  <si>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</si>
  <si>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</si>
  <si>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</si>
  <si>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</si>
  <si>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</si>
  <si>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</si>
  <si>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</si>
  <si>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</si>
  <si>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</si>
  <si>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</si>
  <si>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</si>
  <si>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</si>
  <si>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</si>
  <si>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</si>
  <si>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</si>
  <si>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</si>
  <si>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</si>
  <si>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</si>
  <si>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</si>
  <si>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</si>
  <si>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</si>
  <si>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</si>
  <si>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</si>
  <si>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</si>
  <si>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</si>
  <si>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</si>
  <si>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</si>
  <si>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</si>
  <si>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</si>
  <si>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</si>
  <si>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</si>
  <si>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</si>
  <si>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</si>
  <si>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</si>
  <si>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</si>
  <si>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</si>
  <si>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</si>
  <si>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</si>
  <si>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</si>
  <si>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</si>
  <si>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</si>
  <si>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</si>
  <si>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</si>
  <si>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</si>
  <si>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</si>
  <si>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</si>
  <si>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</si>
  <si>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</si>
  <si>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</si>
  <si>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</si>
  <si>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</si>
  <si>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</si>
  <si>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</si>
  <si>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</si>
  <si>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</si>
  <si>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</si>
  <si>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</si>
  <si>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</si>
  <si>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</si>
  <si>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</si>
  <si>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</si>
  <si>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</si>
  <si>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</si>
  <si>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</si>
  <si>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</si>
  <si>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</si>
  <si>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</si>
  <si>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</si>
  <si>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</si>
  <si>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</si>
  <si>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</si>
  <si>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</si>
  <si>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</si>
  <si>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</si>
  <si>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</si>
  <si>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</si>
  <si>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</si>
  <si>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</si>
  <si>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</si>
  <si>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</si>
  <si>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</si>
  <si>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</si>
  <si>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</si>
  <si>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</si>
  <si>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</si>
  <si>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</si>
  <si>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</si>
  <si>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</si>
  <si>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</si>
  <si>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</si>
  <si>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</si>
  <si>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</si>
  <si>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</si>
  <si>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</si>
  <si>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</si>
  <si>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</si>
  <si>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</si>
  <si>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</si>
  <si>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</si>
  <si>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</si>
  <si>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</si>
  <si>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</si>
  <si>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</si>
  <si>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</si>
  <si>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</si>
  <si>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</si>
  <si>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</si>
  <si>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</si>
  <si>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</si>
  <si>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</si>
  <si>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</si>
  <si>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</si>
  <si>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</si>
  <si>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</si>
  <si>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</si>
  <si>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</si>
  <si>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</si>
  <si>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</si>
  <si>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</si>
  <si>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</si>
  <si>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</si>
  <si>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</si>
  <si>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</si>
  <si>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</si>
  <si>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</si>
  <si>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</si>
  <si>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</si>
  <si>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</si>
  <si>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</si>
  <si>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</si>
  <si>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</si>
  <si>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</si>
  <si>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</si>
  <si>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</si>
  <si>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</si>
  <si>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</si>
  <si>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</si>
  <si>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</si>
  <si>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</si>
  <si>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</si>
  <si>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</si>
  <si>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</si>
  <si>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</si>
  <si>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</si>
  <si>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</si>
  <si>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</si>
  <si>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</si>
  <si>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</si>
  <si>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</si>
  <si>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</si>
  <si>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</si>
  <si>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</si>
  <si>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</si>
  <si>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</si>
  <si>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</si>
  <si>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</si>
  <si>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</si>
  <si>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</si>
  <si>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</si>
  <si>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</si>
  <si>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</si>
  <si>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</si>
  <si>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</si>
  <si>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</si>
  <si>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</si>
  <si>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</si>
  <si>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</si>
  <si>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</si>
  <si>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</si>
  <si>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</si>
  <si>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</si>
  <si>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</si>
  <si>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</si>
  <si>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</si>
  <si>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</si>
  <si>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</si>
  <si>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</si>
  <si>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</si>
  <si>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</si>
  <si>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</si>
  <si>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</si>
  <si>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</si>
  <si>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</si>
  <si>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</si>
  <si>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</si>
  <si>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</si>
  <si>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</si>
  <si>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</si>
  <si>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</si>
  <si>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</si>
  <si>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</si>
  <si>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</si>
  <si>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</si>
  <si>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</si>
  <si>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</si>
  <si>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</si>
  <si>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</si>
  <si>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</si>
  <si>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</si>
  <si>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</si>
  <si>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</si>
  <si>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</si>
  <si>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</si>
  <si>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</si>
  <si>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</si>
  <si>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</si>
  <si>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</si>
  <si>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</si>
  <si>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</si>
  <si>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</si>
  <si>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</si>
  <si>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</si>
  <si>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</si>
  <si>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</si>
  <si>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</si>
  <si>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</si>
  <si>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</si>
  <si>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</si>
  <si>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</si>
  <si>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</si>
  <si>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</si>
  <si>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</si>
  <si>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</si>
  <si>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</si>
  <si>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</si>
  <si>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</si>
  <si>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</si>
  <si>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</si>
  <si>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</si>
  <si>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</si>
  <si>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</si>
  <si>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</si>
  <si>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</si>
  <si>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</si>
  <si>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</si>
  <si>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</si>
  <si>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</si>
  <si>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</si>
  <si>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</si>
  <si>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</si>
  <si>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</si>
  <si>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</si>
  <si>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</si>
  <si>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</si>
  <si>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</si>
  <si>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</si>
  <si>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</si>
  <si>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</si>
  <si>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</si>
  <si>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</si>
  <si>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</si>
  <si>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</si>
  <si>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</si>
  <si>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</si>
  <si>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</si>
  <si>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</si>
  <si>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</si>
  <si>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</si>
  <si>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</si>
  <si>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</si>
  <si>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</si>
  <si>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</si>
  <si>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</si>
  <si>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</si>
  <si>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</si>
  <si>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</si>
  <si>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</si>
  <si>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</si>
  <si>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</si>
  <si>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</si>
  <si>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</si>
  <si>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</si>
  <si>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</si>
  <si>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</si>
  <si>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</si>
  <si>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</si>
  <si>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</si>
  <si>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</si>
  <si>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</si>
  <si>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</si>
  <si>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</si>
  <si>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</si>
  <si>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</si>
  <si>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</si>
  <si>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</si>
  <si>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</si>
  <si>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</si>
  <si>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</si>
  <si>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</si>
  <si>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</si>
  <si>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</si>
  <si>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</si>
  <si>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</si>
  <si>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</si>
  <si>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</si>
  <si>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</si>
  <si>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</si>
  <si>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</si>
  <si>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</si>
  <si>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</si>
  <si>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</si>
  <si>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</si>
  <si>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</si>
  <si>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</si>
  <si>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</si>
  <si>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</si>
  <si>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</si>
  <si>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</si>
  <si>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</si>
  <si>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</si>
  <si>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</si>
  <si>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</si>
  <si>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</si>
  <si>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</si>
  <si>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</si>
  <si>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</si>
  <si>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</si>
  <si>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</si>
  <si>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</si>
  <si>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</si>
  <si>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</si>
  <si>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</si>
  <si>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</si>
  <si>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</si>
  <si>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</si>
  <si>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</si>
  <si>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</si>
  <si>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</si>
  <si>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</si>
  <si>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</si>
  <si>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</si>
  <si>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</si>
  <si>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</si>
  <si>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</si>
  <si>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</si>
  <si>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</si>
  <si>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</si>
  <si>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</si>
  <si>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</si>
  <si>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</si>
  <si>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</si>
  <si>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</si>
  <si>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</si>
  <si>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</si>
  <si>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</si>
  <si>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</si>
  <si>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</si>
  <si>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</si>
  <si>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</si>
  <si>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</si>
  <si>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</si>
  <si>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</si>
  <si>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</si>
  <si>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</si>
  <si>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</si>
  <si>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</si>
  <si>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</si>
  <si>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</si>
  <si>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</si>
  <si>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</si>
  <si>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</si>
  <si>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</si>
  <si>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</si>
  <si>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</si>
  <si>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</si>
  <si>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</si>
  <si>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</si>
  <si>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</si>
  <si>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</si>
  <si>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</si>
  <si>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</si>
  <si>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</si>
  <si>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</si>
  <si>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</si>
  <si>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</si>
  <si>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</si>
  <si>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</si>
  <si>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</si>
  <si>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</si>
  <si>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</si>
  <si>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</si>
  <si>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</si>
  <si>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</si>
  <si>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</si>
  <si>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</si>
  <si>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</si>
  <si>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</si>
  <si>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</si>
  <si>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</si>
  <si>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</si>
  <si>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</si>
  <si>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</si>
  <si>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</si>
  <si>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</si>
  <si>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</si>
  <si>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</si>
  <si>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</si>
  <si>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</si>
  <si>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</si>
  <si>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</si>
  <si>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</si>
  <si>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</si>
  <si>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</si>
  <si>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</si>
  <si>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</si>
  <si>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</si>
  <si>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</si>
  <si>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</si>
  <si>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</si>
  <si>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</si>
  <si>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</si>
  <si>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</si>
  <si>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</si>
  <si>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</si>
  <si>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</si>
  <si>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</si>
  <si>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</si>
  <si>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</si>
  <si>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</si>
  <si>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</si>
  <si>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</si>
  <si>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</si>
  <si>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</si>
  <si>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</si>
  <si>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</si>
  <si>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</si>
  <si>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</si>
  <si>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</si>
  <si>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</si>
  <si>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</si>
  <si>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</si>
  <si>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</si>
  <si>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</si>
  <si>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</si>
  <si>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</si>
  <si>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</si>
  <si>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</si>
  <si>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</si>
  <si>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</si>
  <si>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</si>
  <si>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</si>
  <si>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</si>
  <si>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</si>
  <si>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</si>
  <si>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</si>
  <si>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</si>
  <si>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</si>
  <si>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</si>
  <si>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</si>
  <si>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</si>
  <si>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</si>
  <si>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</si>
  <si>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</si>
  <si>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</si>
  <si>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</si>
  <si>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</si>
  <si>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</si>
  <si>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</si>
  <si>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</si>
  <si>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</si>
  <si>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</si>
  <si>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</si>
  <si>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</si>
  <si>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</si>
  <si>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</si>
  <si>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</si>
  <si>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</si>
  <si>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</si>
  <si>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</si>
  <si>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</si>
  <si>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</si>
  <si>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</si>
  <si>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</si>
  <si>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</si>
  <si>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</si>
  <si>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</si>
  <si>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</si>
  <si>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</si>
  <si>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</si>
  <si>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</si>
  <si>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</si>
  <si>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</si>
  <si>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</si>
  <si>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</si>
  <si>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</si>
  <si>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</si>
  <si>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</si>
  <si>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</si>
  <si>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</si>
  <si>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</si>
  <si>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</si>
  <si>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</si>
  <si>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</si>
  <si>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</si>
  <si>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</si>
  <si>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</si>
  <si>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</si>
  <si>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</si>
  <si>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</si>
  <si>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</si>
  <si>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</si>
  <si>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</si>
  <si>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</si>
  <si>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</si>
  <si>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</si>
  <si>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</si>
  <si>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</si>
  <si>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</si>
  <si>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</si>
  <si>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</si>
  <si>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</si>
  <si>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</si>
  <si>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</si>
  <si>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</si>
  <si>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</si>
  <si>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</si>
  <si>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</si>
  <si>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</si>
  <si>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</si>
  <si>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</si>
  <si>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</si>
  <si>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</si>
  <si>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</si>
  <si>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</si>
  <si>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</si>
  <si>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</si>
  <si>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</si>
  <si>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</si>
  <si>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</si>
  <si>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</si>
  <si>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</si>
  <si>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</si>
  <si>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</si>
  <si>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</si>
  <si>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</si>
  <si>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</si>
  <si>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</si>
  <si>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</si>
  <si>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</si>
  <si>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</si>
  <si>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</si>
  <si>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</si>
  <si>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</si>
  <si>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</si>
  <si>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</si>
  <si>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</si>
  <si>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</si>
  <si>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</si>
  <si>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</si>
  <si>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</si>
  <si>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</si>
  <si>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</si>
  <si>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</si>
  <si>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</si>
  <si>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</si>
  <si>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</si>
  <si>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</si>
  <si>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</si>
  <si>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</si>
  <si>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</si>
  <si>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</si>
  <si>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</si>
  <si>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</si>
  <si>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</si>
  <si>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</si>
  <si>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</si>
  <si>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</si>
  <si>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</si>
  <si>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</si>
  <si>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</si>
  <si>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</si>
  <si>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</si>
  <si>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</si>
  <si>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</si>
  <si>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</si>
  <si>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</si>
  <si>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</si>
  <si>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</si>
  <si>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</si>
  <si>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</si>
  <si>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</si>
  <si>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</si>
  <si>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</si>
  <si>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</si>
  <si>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</si>
  <si>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</si>
  <si>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</si>
  <si>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</si>
  <si>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</si>
  <si>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</si>
  <si>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</si>
  <si>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</si>
  <si>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</si>
  <si>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</si>
  <si>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</si>
  <si>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</si>
  <si>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</si>
  <si>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</si>
  <si>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</si>
  <si>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</si>
  <si>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</si>
  <si>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</si>
  <si>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</si>
  <si>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</si>
  <si>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</si>
  <si>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</si>
  <si>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</si>
  <si>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</si>
  <si>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</si>
  <si>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</si>
  <si>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</si>
  <si>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</si>
  <si>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</si>
  <si>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</si>
  <si>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</si>
  <si>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</si>
  <si>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</si>
  <si>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</si>
  <si>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</si>
  <si>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</si>
  <si>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</si>
  <si>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</si>
  <si>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</si>
  <si>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</si>
  <si>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</si>
  <si>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</si>
  <si>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</si>
  <si>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</si>
  <si>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</si>
  <si>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</si>
  <si>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</si>
  <si>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</si>
  <si>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</si>
  <si>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</si>
  <si>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</si>
  <si>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</si>
  <si>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</si>
  <si>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</si>
  <si>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</si>
  <si>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</si>
  <si>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</si>
  <si>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</si>
  <si>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</si>
  <si>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</si>
  <si>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</si>
  <si>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</si>
  <si>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</si>
  <si>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</si>
  <si>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</si>
  <si>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</si>
  <si>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</si>
  <si>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</si>
  <si>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</si>
  <si>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</si>
  <si>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</si>
  <si>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</si>
  <si>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</si>
  <si>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</si>
  <si>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</si>
  <si>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</si>
  <si>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</si>
  <si>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</si>
  <si>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</si>
  <si>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</si>
  <si>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</si>
  <si>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</si>
  <si>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</si>
  <si>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</si>
  <si>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</si>
  <si>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</si>
  <si>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</si>
  <si>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</si>
  <si>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</si>
  <si>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</si>
  <si>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</si>
  <si>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</si>
  <si>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</si>
  <si>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</si>
  <si>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</si>
  <si>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</si>
  <si>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</si>
  <si>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</si>
  <si>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</si>
  <si>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</si>
  <si>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</si>
  <si>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</si>
  <si>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</si>
  <si>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</si>
  <si>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</si>
  <si>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</si>
  <si>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</si>
  <si>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</si>
  <si>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</si>
  <si>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</si>
  <si>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</si>
  <si>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</si>
  <si>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</si>
  <si>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</si>
  <si>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</si>
  <si>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</si>
  <si>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</si>
  <si>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</si>
  <si>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</si>
  <si>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</si>
  <si>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</si>
  <si>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</si>
  <si>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</si>
  <si>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</si>
  <si>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</si>
  <si>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</si>
  <si>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</si>
  <si>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</si>
  <si>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</si>
  <si>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</si>
  <si>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</si>
  <si>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</si>
  <si>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</si>
  <si>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</si>
  <si>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</si>
  <si>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</si>
  <si>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</si>
  <si>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</si>
  <si>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</si>
  <si>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</si>
  <si>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</si>
  <si>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</si>
  <si>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</si>
  <si>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</si>
  <si>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</si>
  <si>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</si>
  <si>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</si>
  <si>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</si>
  <si>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</si>
  <si>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</si>
  <si>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</si>
  <si>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</si>
  <si>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</si>
  <si>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</si>
  <si>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</si>
  <si>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</si>
  <si>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</si>
  <si>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</si>
  <si>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</si>
  <si>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</si>
  <si>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</si>
  <si>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</si>
  <si>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</si>
  <si>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</si>
  <si>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</si>
  <si>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</si>
  <si>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</si>
  <si>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</si>
  <si>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</si>
  <si>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</si>
  <si>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</si>
  <si>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</si>
  <si>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</si>
  <si>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</si>
  <si>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</si>
  <si>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</si>
  <si>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</si>
  <si>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</si>
  <si>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</si>
  <si>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</si>
  <si>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</si>
  <si>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</si>
  <si>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</si>
  <si>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</si>
  <si>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</si>
  <si>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</si>
  <si>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</si>
  <si>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</si>
  <si>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</si>
  <si>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</si>
  <si>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</si>
  <si>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</si>
  <si>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</si>
  <si>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</si>
  <si>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</si>
  <si>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</si>
  <si>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</si>
  <si>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</si>
  <si>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</si>
  <si>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</si>
  <si>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</si>
  <si>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</si>
  <si>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</si>
  <si>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</si>
  <si>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</si>
  <si>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</si>
  <si>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</si>
  <si>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</si>
  <si>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</si>
  <si>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</si>
  <si>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</si>
  <si>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</si>
  <si>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</si>
  <si>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</si>
  <si>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</si>
  <si>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</si>
  <si>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</si>
  <si>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</si>
  <si>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</si>
  <si>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</si>
  <si>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</si>
  <si>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</si>
  <si>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</si>
  <si>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</si>
  <si>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</si>
  <si>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</si>
  <si>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</si>
  <si>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</si>
  <si>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</si>
  <si>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</si>
  <si>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</si>
  <si>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</si>
  <si>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</si>
  <si>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</si>
  <si>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</si>
  <si>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</si>
  <si>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</si>
  <si>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</si>
  <si>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</si>
  <si>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</si>
  <si>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</si>
  <si>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</si>
  <si>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</si>
  <si>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</si>
  <si>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</si>
  <si>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</si>
  <si>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</si>
  <si>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</si>
  <si>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</si>
  <si>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</si>
  <si>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</si>
  <si>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</si>
  <si>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</si>
  <si>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</si>
  <si>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</si>
  <si>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</si>
  <si>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</si>
  <si>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</si>
  <si>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</si>
  <si>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</si>
  <si>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</si>
  <si>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</si>
  <si>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</si>
  <si>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</si>
  <si>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</si>
  <si>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</si>
  <si>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</si>
  <si>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</si>
  <si>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</si>
  <si>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</si>
  <si>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</si>
  <si>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</si>
  <si>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</si>
  <si>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</si>
  <si>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</si>
  <si>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</si>
  <si>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</si>
  <si>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</si>
  <si>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</si>
  <si>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</si>
  <si>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</si>
  <si>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</si>
  <si>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</si>
  <si>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</si>
  <si>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</si>
  <si>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</si>
  <si>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</si>
  <si>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</si>
  <si>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</si>
  <si>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</si>
  <si>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</si>
  <si>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</si>
  <si>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</si>
  <si>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</si>
  <si>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</si>
  <si>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</si>
  <si>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</si>
  <si>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</si>
  <si>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</si>
  <si>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</si>
  <si>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</si>
  <si>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</si>
  <si>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</si>
  <si>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</si>
  <si>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</si>
  <si>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</si>
  <si>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</si>
  <si>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</si>
  <si>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</si>
  <si>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</si>
  <si>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</si>
  <si>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</si>
  <si>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</si>
  <si>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</si>
  <si>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</si>
  <si>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</si>
  <si>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</si>
  <si>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</si>
  <si>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</si>
  <si>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</si>
  <si>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</si>
  <si>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</si>
  <si>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</si>
  <si>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</si>
  <si>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</si>
  <si>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</si>
  <si>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</si>
  <si>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</si>
  <si>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</si>
  <si>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</si>
  <si>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</si>
  <si>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</si>
  <si>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</si>
  <si>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</si>
  <si>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</si>
  <si>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</si>
  <si>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</si>
  <si>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</si>
  <si>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</si>
  <si>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</si>
  <si>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</si>
  <si>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</si>
  <si>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</si>
  <si>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</si>
  <si>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</si>
  <si>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</si>
  <si>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</si>
  <si>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</si>
  <si>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</si>
  <si>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</si>
  <si>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</si>
  <si>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</si>
  <si>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</si>
  <si>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</si>
  <si>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</si>
  <si>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</si>
  <si>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</si>
  <si>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</si>
  <si>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</si>
  <si>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</si>
  <si>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</si>
  <si>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</si>
  <si>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</si>
  <si>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</si>
  <si>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</si>
  <si>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</si>
  <si>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</si>
  <si>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</si>
  <si>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</si>
  <si>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</si>
  <si>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</si>
  <si>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</si>
  <si>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</si>
  <si>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</si>
  <si>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</si>
  <si>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</si>
  <si>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</si>
  <si>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</si>
  <si>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</si>
  <si>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</si>
  <si>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</si>
  <si>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</si>
  <si>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</si>
  <si>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</si>
  <si>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</si>
  <si>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</si>
  <si>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</si>
  <si>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</si>
  <si>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</si>
  <si>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</si>
  <si>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</si>
  <si>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</si>
  <si>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</si>
  <si>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</si>
  <si>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</si>
  <si>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</si>
  <si>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</si>
  <si>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</si>
  <si>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</si>
  <si>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</si>
  <si>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</si>
  <si>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</si>
  <si>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</si>
  <si>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</si>
  <si>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</si>
  <si>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</si>
  <si>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</si>
  <si>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</si>
  <si>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</si>
  <si>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</si>
  <si>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</si>
  <si>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</si>
  <si>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</si>
  <si>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</si>
  <si>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</si>
  <si>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</si>
  <si>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</si>
  <si>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</si>
  <si>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</si>
  <si>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</si>
  <si>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</si>
  <si>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</si>
  <si>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</si>
  <si>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</si>
  <si>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</si>
  <si>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</si>
  <si>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</si>
  <si>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</si>
  <si>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</si>
  <si>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</si>
  <si>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</si>
  <si>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</si>
  <si>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</si>
  <si>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</si>
  <si>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</si>
  <si>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</si>
  <si>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</si>
  <si>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</si>
  <si>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</si>
  <si>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</si>
  <si>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</si>
  <si>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</si>
  <si>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</si>
  <si>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</si>
  <si>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</si>
  <si>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</si>
  <si>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</si>
  <si>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</si>
  <si>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</si>
  <si>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</si>
  <si>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</si>
  <si>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</si>
  <si>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</si>
  <si>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</si>
  <si>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</si>
  <si>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</si>
  <si>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</si>
  <si>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</si>
  <si>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</si>
  <si>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</si>
  <si>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</si>
  <si>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</si>
  <si>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</si>
  <si>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</si>
  <si>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</si>
  <si>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</si>
  <si>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</si>
  <si>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</si>
  <si>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</si>
  <si>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</si>
  <si>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</si>
  <si>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</si>
  <si>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</si>
  <si>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</si>
  <si>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</si>
  <si>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</si>
  <si>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</si>
  <si>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</si>
  <si>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</si>
  <si>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</si>
  <si>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</si>
  <si>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</si>
  <si>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</si>
  <si>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</si>
  <si>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</si>
  <si>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</si>
  <si>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</si>
  <si>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</si>
  <si>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</si>
  <si>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</si>
  <si>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</si>
  <si>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</si>
  <si>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</si>
  <si>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</si>
  <si>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</si>
  <si>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</si>
  <si>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</si>
  <si>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</si>
  <si>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</si>
  <si>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</si>
  <si>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</si>
  <si>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</si>
  <si>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</si>
  <si>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</si>
  <si>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</si>
  <si>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</si>
  <si>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</si>
  <si>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</si>
  <si>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</si>
  <si>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</si>
  <si>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</si>
  <si>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</si>
  <si>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</si>
  <si>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</si>
  <si>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</si>
  <si>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</si>
  <si>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</si>
  <si>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</si>
  <si>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</si>
  <si>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</si>
  <si>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</si>
  <si>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</si>
  <si>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</si>
  <si>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</si>
  <si>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</si>
  <si>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</si>
  <si>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</si>
  <si>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</si>
  <si>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</si>
  <si>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</si>
  <si>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</si>
  <si>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</si>
  <si>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</si>
  <si>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</si>
  <si>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</si>
  <si>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</si>
  <si>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</si>
  <si>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</si>
  <si>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</si>
  <si>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</si>
  <si>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</si>
  <si>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</si>
  <si>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</si>
  <si>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</si>
  <si>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</si>
  <si>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</si>
  <si>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</si>
  <si>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</si>
  <si>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</si>
  <si>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</si>
  <si>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</si>
  <si>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</si>
  <si>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</si>
  <si>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</si>
  <si>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</si>
  <si>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</si>
  <si>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</si>
  <si>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</si>
  <si>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</si>
  <si>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</si>
  <si>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</si>
  <si>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</si>
  <si>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</si>
  <si>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</si>
  <si>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</si>
  <si>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</si>
  <si>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</si>
  <si>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</si>
  <si>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</si>
  <si>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</si>
  <si>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</si>
  <si>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</si>
  <si>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</si>
  <si>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</si>
  <si>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</si>
  <si>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</si>
  <si>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</si>
  <si>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</si>
  <si>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</si>
  <si>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</si>
  <si>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</si>
  <si>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</si>
  <si>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</si>
  <si>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</si>
  <si>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</si>
  <si>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</si>
  <si>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</si>
  <si>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</si>
  <si>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</si>
  <si>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</si>
  <si>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</si>
  <si>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</si>
  <si>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</si>
  <si>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</si>
  <si>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</si>
  <si>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</si>
  <si>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</si>
  <si>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</si>
  <si>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</si>
  <si>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</si>
  <si>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</si>
  <si>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</si>
  <si>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</si>
  <si>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</si>
  <si>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</si>
  <si>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</si>
  <si>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</si>
  <si>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</si>
  <si>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</si>
  <si>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</si>
  <si>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</si>
  <si>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</si>
  <si>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</si>
  <si>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</si>
  <si>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</si>
  <si>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</si>
  <si>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</si>
  <si>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</si>
  <si>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</si>
  <si>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</si>
  <si>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</si>
  <si>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</si>
  <si>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</si>
  <si>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</si>
  <si>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</si>
  <si>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</si>
  <si>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</si>
  <si>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</si>
  <si>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</si>
  <si>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</si>
  <si>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</si>
  <si>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</si>
  <si>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</si>
  <si>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</si>
  <si>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</si>
  <si>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</si>
  <si>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</si>
  <si>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</si>
  <si>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</si>
  <si>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</si>
  <si>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</si>
  <si>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</si>
  <si>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</si>
  <si>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</si>
  <si>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</si>
  <si>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</si>
  <si>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</si>
  <si>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</si>
  <si>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</si>
  <si>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</si>
  <si>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</si>
  <si>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</si>
  <si>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</si>
  <si>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</si>
  <si>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</si>
  <si>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</si>
  <si>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</si>
  <si>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</si>
  <si>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</si>
  <si>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</si>
  <si>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</si>
  <si>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</si>
  <si>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</si>
  <si>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</si>
  <si>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</si>
  <si>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</si>
  <si>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</si>
  <si>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</si>
  <si>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</si>
  <si>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</si>
  <si>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</si>
  <si>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</si>
  <si>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</si>
  <si>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</si>
  <si>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</si>
  <si>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</si>
  <si>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</si>
  <si>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</si>
  <si>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</si>
  <si>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</si>
  <si>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</si>
  <si>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</si>
  <si>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</si>
  <si>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</si>
  <si>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</si>
  <si>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</si>
  <si>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</si>
  <si>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</si>
  <si>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</si>
  <si>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</si>
  <si>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</si>
  <si>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</si>
  <si>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</si>
  <si>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</si>
  <si>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</si>
  <si>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</si>
  <si>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</si>
  <si>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</si>
  <si>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</si>
  <si>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</si>
  <si>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</si>
  <si>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</si>
  <si>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</si>
  <si>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</si>
  <si>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</si>
  <si>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</si>
  <si>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</si>
  <si>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</si>
  <si>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</si>
  <si>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</si>
  <si>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</si>
  <si>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</si>
  <si>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</si>
  <si>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</si>
  <si>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</si>
  <si>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</si>
  <si>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</si>
  <si>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</si>
  <si>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</si>
  <si>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</si>
  <si>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</si>
  <si>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</si>
  <si>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</si>
  <si>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</si>
  <si>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</si>
  <si>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</si>
  <si>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</si>
  <si>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</si>
  <si>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</si>
  <si>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</si>
  <si>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</si>
  <si>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</si>
  <si>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</si>
  <si>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</si>
  <si>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</si>
  <si>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</si>
  <si>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</si>
  <si>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</si>
  <si>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</si>
  <si>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</si>
  <si>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</si>
  <si>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</si>
  <si>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</si>
  <si>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</si>
  <si>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</si>
  <si>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</si>
  <si>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</si>
  <si>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</si>
  <si>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</si>
  <si>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</si>
  <si>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</si>
  <si>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</si>
  <si>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</si>
  <si>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</si>
  <si>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</si>
  <si>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</si>
  <si>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</si>
  <si>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</si>
  <si>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</si>
  <si>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</si>
  <si>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</si>
  <si>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</si>
  <si>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</si>
  <si>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</si>
  <si>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</si>
  <si>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</si>
  <si>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</si>
  <si>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</si>
  <si>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</si>
  <si>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</si>
  <si>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</si>
  <si>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</si>
  <si>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</si>
  <si>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</si>
  <si>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</si>
  <si>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</si>
  <si>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</si>
  <si>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</si>
  <si>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</si>
  <si>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</si>
  <si>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</si>
  <si>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</si>
  <si>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</si>
  <si>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</si>
  <si>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</si>
  <si>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</si>
  <si>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</si>
  <si>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</si>
  <si>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</si>
  <si>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</si>
  <si>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</si>
  <si>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</si>
  <si>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</si>
  <si>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</si>
  <si>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</si>
  <si>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</si>
  <si>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</si>
  <si>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</si>
  <si>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</si>
  <si>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</si>
  <si>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</si>
  <si>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</si>
  <si>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</si>
  <si>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</si>
  <si>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</si>
  <si>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</si>
  <si>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</si>
  <si>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</si>
  <si>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</si>
  <si>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</si>
  <si>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</si>
  <si>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</si>
  <si>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</si>
  <si>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</si>
  <si>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</si>
  <si>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</si>
  <si>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</si>
  <si>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</si>
  <si>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</si>
  <si>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</si>
  <si>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</si>
  <si>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</si>
  <si>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</si>
  <si>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</si>
  <si>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</si>
  <si>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</si>
  <si>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</si>
  <si>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</si>
  <si>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</si>
  <si>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</si>
  <si>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</si>
  <si>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</si>
  <si>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</si>
  <si>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</si>
  <si>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</si>
  <si>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</si>
  <si>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</si>
  <si>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</si>
  <si>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</si>
  <si>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</si>
  <si>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</si>
  <si>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</si>
  <si>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</si>
  <si>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</si>
  <si>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</si>
  <si>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</si>
  <si>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</si>
  <si>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</si>
  <si>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</si>
  <si>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</si>
  <si>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</si>
  <si>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</si>
  <si>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</si>
  <si>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</si>
  <si>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</si>
  <si>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</si>
  <si>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</si>
  <si>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</si>
  <si>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</si>
  <si>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</si>
  <si>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</si>
  <si>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</si>
  <si>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</si>
  <si>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</si>
  <si>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</si>
  <si>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</si>
  <si>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</si>
  <si>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</si>
  <si>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</si>
  <si>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</si>
  <si>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</si>
  <si>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</si>
  <si>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</si>
  <si>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</si>
  <si>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</si>
  <si>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</si>
  <si>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</si>
  <si>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</si>
  <si>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</si>
  <si>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</si>
  <si>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</si>
  <si>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</si>
  <si>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</si>
  <si>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</si>
  <si>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</si>
  <si>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</si>
  <si>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</si>
  <si>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</si>
  <si>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</si>
  <si>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</si>
  <si>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</si>
  <si>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</si>
  <si>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</si>
  <si>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</si>
  <si>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</si>
  <si>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</si>
  <si>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</si>
  <si>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</si>
  <si>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</si>
  <si>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</si>
  <si>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</si>
  <si>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</si>
  <si>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</si>
  <si>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</si>
  <si>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</si>
  <si>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</si>
  <si>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</si>
  <si>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</si>
  <si>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</si>
  <si>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</si>
  <si>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</si>
  <si>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</si>
  <si>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</si>
  <si>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</si>
  <si>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</si>
  <si>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</si>
  <si>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</si>
  <si>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</si>
  <si>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</si>
  <si>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</si>
  <si>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</si>
  <si>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</si>
  <si>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</si>
  <si>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</si>
  <si>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</si>
  <si>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</si>
  <si>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</si>
  <si>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</si>
  <si>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</si>
  <si>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</si>
  <si>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</si>
  <si>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</si>
  <si>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</si>
  <si>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</si>
  <si>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</si>
  <si>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</si>
  <si>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</si>
  <si>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</si>
  <si>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</si>
  <si>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</si>
  <si>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</si>
  <si>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</si>
  <si>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</si>
  <si>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</si>
  <si>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</si>
  <si>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</si>
  <si>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</si>
  <si>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</si>
  <si>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</si>
  <si>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</si>
  <si>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</si>
  <si>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</si>
  <si>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</si>
  <si>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</si>
  <si>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</si>
  <si>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</si>
  <si>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</si>
  <si>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</si>
  <si>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</si>
  <si>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</si>
  <si>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</si>
  <si>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</si>
  <si>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</si>
  <si>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</si>
  <si>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</si>
  <si>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</si>
  <si>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</si>
  <si>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</si>
  <si>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</si>
  <si>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</si>
  <si>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</si>
  <si>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</si>
  <si>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</si>
  <si>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</si>
  <si>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</si>
  <si>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</si>
  <si>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</si>
  <si>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</si>
  <si>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</si>
  <si>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</si>
  <si>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</si>
  <si>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</si>
  <si>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</si>
  <si>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</si>
  <si>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</si>
  <si>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</si>
  <si>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</si>
  <si>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</si>
  <si>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</si>
  <si>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</si>
  <si>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</si>
  <si>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</si>
  <si>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</si>
  <si>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</si>
  <si>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</si>
  <si>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</si>
  <si>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</si>
  <si>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</si>
  <si>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</si>
  <si>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</si>
  <si>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</si>
  <si>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</si>
  <si>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</si>
  <si>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</si>
  <si>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</si>
  <si>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</si>
  <si>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</si>
  <si>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</si>
  <si>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</si>
  <si>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</si>
  <si>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</si>
  <si>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</si>
  <si>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</si>
  <si>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</si>
  <si>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</si>
  <si>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</si>
  <si>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</si>
  <si>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</si>
  <si>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</si>
  <si>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</si>
  <si>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</si>
  <si>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</si>
  <si>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</si>
  <si>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</si>
  <si>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</si>
  <si>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</si>
  <si>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</si>
  <si>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</si>
  <si>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</si>
  <si>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</si>
  <si>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</si>
  <si>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</si>
  <si>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</si>
  <si>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</si>
  <si>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</si>
  <si>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</si>
  <si>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</si>
  <si>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</si>
  <si>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</si>
  <si>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</si>
  <si>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</si>
  <si>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</si>
  <si>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</si>
  <si>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</si>
  <si>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</si>
  <si>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</si>
  <si>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</si>
  <si>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</si>
  <si>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</si>
  <si>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</si>
  <si>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</si>
  <si>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</si>
  <si>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</si>
  <si>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</si>
  <si>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</si>
  <si>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</si>
  <si>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</si>
  <si>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</si>
  <si>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</si>
  <si>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</si>
  <si>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</si>
  <si>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</si>
  <si>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</si>
  <si>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</si>
  <si>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</si>
  <si>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</si>
  <si>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</si>
  <si>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</si>
  <si>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</si>
  <si>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</si>
  <si>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</si>
  <si>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</si>
  <si>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</si>
  <si>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</si>
  <si>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</si>
  <si>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</si>
  <si>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</si>
  <si>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</si>
  <si>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</si>
  <si>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</si>
  <si>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</si>
  <si>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</si>
  <si>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</si>
  <si>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</si>
  <si>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</si>
  <si>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</si>
  <si>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</si>
  <si>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</si>
  <si>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</si>
  <si>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</si>
  <si>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</si>
  <si>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</si>
  <si>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</si>
  <si>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</si>
  <si>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</si>
  <si>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</si>
  <si>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</si>
  <si>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</si>
  <si>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</si>
  <si>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</si>
  <si>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</si>
  <si>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</si>
  <si>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</si>
  <si>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</si>
  <si>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</si>
  <si>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</si>
  <si>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</si>
  <si>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</si>
  <si>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</si>
  <si>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</si>
  <si>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</si>
  <si>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</si>
  <si>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</si>
  <si>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</si>
  <si>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</si>
  <si>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</si>
  <si>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</si>
  <si>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</si>
  <si>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</si>
  <si>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</si>
  <si>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</si>
  <si>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</si>
  <si>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</si>
  <si>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</si>
  <si>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</si>
  <si>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</si>
  <si>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</si>
  <si>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</si>
  <si>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</si>
  <si>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</si>
  <si>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</si>
  <si>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</si>
  <si>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</si>
  <si>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</si>
  <si>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</si>
  <si>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</si>
  <si>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</si>
  <si>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</si>
  <si>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</si>
  <si>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</si>
  <si>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</si>
  <si>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</si>
  <si>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</si>
  <si>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</si>
  <si>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</si>
  <si>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</si>
  <si>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</si>
  <si>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</si>
  <si>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</si>
  <si>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</si>
  <si>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</si>
  <si>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</si>
  <si>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</si>
  <si>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</si>
  <si>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</si>
  <si>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</si>
  <si>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</si>
  <si>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</si>
  <si>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</si>
  <si>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</si>
  <si>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</si>
  <si>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</si>
  <si>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</si>
  <si>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</si>
  <si>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</si>
  <si>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</si>
  <si>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</si>
  <si>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</si>
  <si>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</si>
  <si>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</si>
  <si>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</si>
  <si>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</si>
  <si>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</si>
  <si>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</si>
  <si>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</si>
  <si>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</si>
  <si>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</si>
  <si>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</si>
  <si>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</si>
  <si>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</si>
  <si>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</si>
  <si>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</si>
  <si>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</si>
  <si>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</si>
  <si>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</si>
  <si>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</si>
  <si>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</si>
  <si>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</si>
  <si>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</si>
  <si>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</si>
  <si>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</si>
  <si>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</si>
  <si>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</si>
  <si>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</si>
  <si>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</si>
  <si>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</si>
  <si>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</si>
  <si>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</si>
  <si>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</si>
  <si>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</si>
  <si>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</si>
  <si>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</si>
  <si>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</si>
  <si>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</si>
  <si>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</si>
  <si>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</si>
  <si>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</si>
  <si>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</si>
  <si>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</si>
  <si>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</si>
  <si>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</si>
  <si>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</si>
  <si>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</si>
  <si>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</si>
  <si>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</si>
  <si>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</si>
  <si>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</si>
  <si>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</si>
  <si>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</si>
  <si>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</si>
  <si>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</si>
  <si>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</si>
  <si>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</si>
  <si>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</si>
  <si>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</si>
  <si>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</si>
  <si>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</si>
  <si>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</si>
  <si>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</si>
  <si>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</si>
  <si>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</si>
  <si>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</si>
  <si>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</si>
  <si>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</si>
  <si>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</si>
  <si>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</si>
  <si>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</si>
  <si>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</si>
  <si>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</si>
  <si>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</si>
  <si>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</si>
  <si>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</si>
  <si>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</si>
  <si>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</si>
  <si>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</si>
  <si>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</si>
  <si>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</si>
  <si>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</si>
  <si>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</si>
  <si>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</si>
  <si>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</si>
  <si>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</si>
  <si>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</si>
  <si>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</si>
  <si>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</si>
  <si>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</si>
  <si>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</si>
  <si>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</si>
  <si>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</si>
  <si>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</si>
  <si>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</si>
  <si>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</si>
  <si>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</si>
  <si>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</si>
  <si>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</si>
  <si>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</si>
  <si>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</si>
  <si>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</si>
  <si>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</si>
  <si>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</si>
  <si>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</si>
  <si>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</si>
  <si>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</si>
  <si>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</si>
  <si>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</si>
  <si>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</si>
  <si>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</si>
  <si>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</si>
  <si>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</si>
  <si>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</si>
  <si>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</si>
  <si>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</si>
  <si>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</si>
  <si>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</si>
  <si>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</si>
  <si>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</si>
  <si>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</si>
  <si>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</si>
  <si>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</si>
  <si>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</si>
  <si>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</si>
  <si>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</si>
  <si>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</si>
  <si>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</si>
  <si>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</si>
  <si>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</si>
  <si>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</si>
  <si>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</si>
  <si>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</si>
  <si>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</si>
  <si>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</si>
  <si>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</si>
  <si>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</si>
  <si>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</si>
  <si>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</si>
  <si>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</si>
  <si>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</si>
  <si>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</si>
  <si>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</si>
  <si>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</si>
  <si>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</si>
  <si>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</si>
  <si>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</si>
  <si>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</si>
  <si>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</si>
  <si>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</si>
  <si>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</si>
  <si>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</si>
  <si>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</si>
  <si>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</si>
  <si>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</si>
  <si>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</si>
  <si>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</si>
  <si>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</si>
  <si>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</si>
  <si>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</si>
  <si>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</si>
  <si>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</si>
  <si>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</si>
  <si>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</si>
  <si>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</si>
  <si>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</si>
  <si>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</si>
  <si>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</si>
  <si>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</si>
  <si>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</si>
  <si>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</si>
  <si>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</si>
  <si>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</si>
  <si>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</si>
  <si>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</si>
  <si>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</si>
  <si>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</si>
  <si>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</si>
  <si>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</si>
  <si>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</si>
  <si>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</si>
  <si>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</si>
  <si>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</si>
  <si>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</si>
  <si>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</si>
  <si>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</si>
  <si>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</si>
  <si>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</si>
  <si>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</si>
  <si>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</si>
  <si>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</si>
  <si>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</si>
  <si>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</si>
  <si>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</si>
  <si>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</si>
  <si>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</si>
  <si>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</si>
  <si>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</si>
  <si>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</si>
  <si>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</si>
  <si>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</si>
  <si>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</si>
  <si>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</si>
  <si>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</si>
  <si>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</si>
  <si>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</si>
  <si>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</si>
  <si>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</si>
  <si>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</si>
  <si>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</si>
  <si>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</si>
  <si>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</si>
  <si>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</si>
  <si>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</si>
  <si>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</si>
  <si>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</si>
  <si>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</si>
  <si>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</si>
  <si>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</si>
  <si>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</si>
  <si>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</si>
  <si>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</si>
  <si>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</si>
  <si>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</si>
  <si>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</si>
  <si>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</si>
  <si>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</si>
  <si>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</si>
  <si>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</si>
  <si>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</si>
  <si>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</si>
  <si>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</si>
  <si>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</si>
  <si>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</si>
  <si>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</si>
  <si>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</si>
  <si>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</si>
  <si>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</si>
  <si>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</si>
  <si>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</si>
  <si>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</si>
  <si>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</si>
  <si>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</si>
  <si>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</si>
  <si>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</si>
  <si>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</si>
  <si>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</si>
  <si>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</si>
  <si>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</si>
  <si>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</si>
  <si>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</si>
  <si>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</si>
  <si>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</si>
  <si>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</si>
  <si>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</si>
  <si>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</si>
  <si>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</si>
  <si>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</si>
  <si>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</si>
  <si>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</si>
  <si>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</si>
  <si>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</si>
  <si>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</si>
  <si>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</si>
  <si>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</si>
  <si>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</si>
  <si>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</si>
  <si>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</si>
  <si>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</si>
  <si>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</si>
  <si>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</si>
  <si>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</si>
  <si>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</si>
  <si>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</si>
  <si>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</si>
  <si>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</si>
  <si>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</si>
  <si>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</si>
  <si>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</si>
  <si>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</si>
  <si>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</si>
  <si>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</si>
  <si>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</si>
  <si>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</si>
  <si>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</si>
  <si>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</si>
  <si>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</si>
  <si>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</si>
  <si>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</si>
  <si>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</si>
  <si>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</si>
  <si>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</si>
  <si>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</si>
  <si>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</si>
  <si>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</si>
  <si>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</si>
  <si>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</si>
  <si>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</si>
  <si>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</si>
  <si>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</si>
  <si>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</si>
  <si>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</si>
  <si>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</si>
  <si>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</si>
  <si>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</si>
  <si>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</si>
  <si>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</si>
  <si>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</si>
  <si>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</si>
  <si>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</si>
  <si>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</si>
  <si>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</si>
  <si>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</si>
  <si>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</si>
  <si>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</si>
  <si>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</si>
  <si>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</si>
  <si>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</si>
  <si>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</si>
  <si>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</si>
  <si>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</si>
  <si>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</si>
  <si>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</si>
  <si>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</si>
  <si>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</si>
  <si>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</si>
  <si>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</si>
  <si>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</si>
  <si>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</si>
  <si>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</si>
  <si>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</si>
  <si>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</si>
  <si>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</si>
  <si>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</si>
  <si>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</si>
  <si>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</si>
  <si>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</si>
  <si>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</si>
  <si>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</si>
  <si>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</si>
  <si>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</si>
  <si>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</si>
  <si>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</si>
  <si>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</si>
  <si>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</si>
  <si>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</si>
  <si>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</si>
  <si>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</si>
  <si>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</si>
  <si>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</si>
  <si>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</si>
  <si>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</si>
  <si>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</si>
  <si>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</si>
  <si>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</si>
  <si>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</si>
  <si>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</si>
  <si>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</si>
  <si>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</si>
  <si>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</si>
  <si>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</si>
  <si>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</si>
  <si>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</si>
  <si>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</si>
  <si>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</si>
  <si>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</si>
  <si>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</si>
  <si>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</si>
  <si>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</si>
  <si>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</si>
  <si>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</si>
  <si>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</si>
  <si>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</si>
  <si>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</si>
  <si>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</si>
  <si>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</si>
  <si>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</si>
  <si>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</si>
  <si>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</si>
  <si>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</si>
  <si>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</si>
  <si>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</si>
  <si>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</si>
  <si>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</si>
  <si>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</si>
  <si>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</si>
  <si>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</si>
  <si>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</si>
  <si>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</si>
  <si>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</si>
  <si>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</si>
  <si>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</si>
  <si>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</si>
  <si>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</si>
  <si>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</si>
  <si>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</si>
  <si>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</si>
  <si>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</si>
  <si>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</si>
  <si>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</si>
  <si>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</si>
  <si>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</si>
  <si>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</si>
  <si>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</si>
  <si>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</si>
  <si>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</si>
  <si>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</si>
  <si>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</si>
  <si>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</si>
  <si>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</si>
  <si>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</si>
  <si>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</si>
  <si>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</si>
  <si>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</si>
  <si>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</si>
  <si>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</si>
  <si>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</si>
  <si>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</si>
  <si>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</si>
  <si>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</si>
  <si>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</si>
  <si>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</si>
  <si>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</si>
  <si>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</si>
  <si>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</si>
  <si>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</si>
  <si>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</si>
  <si>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</si>
  <si>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</si>
  <si>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</si>
  <si>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</si>
  <si>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</si>
  <si>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</si>
  <si>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</si>
  <si>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</si>
  <si>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</si>
  <si>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</si>
  <si>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</si>
  <si>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</si>
  <si>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</si>
  <si>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</si>
  <si>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</si>
  <si>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</si>
  <si>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</si>
  <si>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</si>
  <si>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</si>
  <si>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</si>
  <si>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</si>
  <si>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</si>
  <si>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</si>
  <si>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</si>
  <si>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</si>
  <si>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</si>
  <si>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</si>
  <si>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</si>
  <si>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</si>
  <si>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</si>
  <si>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</si>
  <si>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</si>
  <si>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</si>
  <si>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</si>
  <si>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</si>
  <si>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</si>
  <si>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</si>
  <si>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</si>
  <si>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</si>
  <si>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</si>
  <si>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</si>
  <si>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</si>
  <si>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</si>
  <si>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</si>
  <si>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</si>
  <si>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</si>
  <si>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</si>
  <si>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</si>
  <si>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</si>
  <si>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</si>
  <si>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</si>
  <si>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</si>
  <si>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</si>
  <si>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</si>
  <si>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</si>
  <si>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</si>
  <si>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</si>
  <si>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</si>
  <si>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</si>
  <si>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</si>
  <si>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</si>
  <si>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</si>
  <si>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</si>
  <si>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</si>
  <si>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</si>
  <si>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</si>
  <si>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</si>
  <si>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</si>
  <si>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</si>
  <si>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</si>
  <si>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</si>
  <si>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</si>
  <si>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</si>
  <si>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</si>
  <si>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</si>
  <si>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</si>
  <si>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</si>
  <si>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</si>
  <si>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</si>
  <si>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</si>
  <si>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</si>
  <si>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</si>
  <si>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</si>
  <si>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</si>
  <si>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</si>
  <si>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</si>
  <si>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</si>
  <si>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</si>
  <si>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</si>
  <si>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</si>
  <si>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</si>
  <si>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</si>
  <si>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</si>
  <si>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</si>
  <si>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</si>
  <si>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</si>
  <si>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</si>
  <si>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</si>
  <si>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</si>
  <si>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</si>
  <si>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</si>
  <si>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</si>
  <si>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</si>
  <si>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</si>
  <si>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</si>
  <si>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</si>
  <si>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</si>
  <si>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</si>
  <si>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</si>
  <si>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</si>
  <si>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</si>
  <si>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</si>
  <si>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</si>
  <si>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</si>
  <si>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</si>
  <si>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</si>
  <si>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</si>
  <si>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</si>
  <si>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</si>
  <si>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</si>
  <si>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</si>
  <si>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</si>
  <si>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</si>
  <si>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</si>
  <si>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</si>
  <si>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</si>
  <si>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</si>
  <si>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</si>
  <si>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</si>
  <si>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</si>
  <si>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</si>
  <si>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</si>
  <si>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</si>
  <si>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</si>
  <si>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</si>
  <si>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</si>
  <si>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</si>
  <si>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</si>
  <si>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</si>
  <si>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</si>
  <si>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</si>
  <si>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</si>
  <si>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</si>
  <si>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</si>
  <si>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</si>
  <si>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</si>
  <si>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</si>
  <si>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</si>
  <si>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</si>
  <si>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</si>
  <si>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</si>
  <si>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</si>
  <si>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</si>
  <si>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</si>
  <si>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</si>
  <si>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</si>
  <si>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</si>
  <si>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</si>
  <si>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</si>
  <si>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</si>
  <si>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</si>
  <si>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</si>
  <si>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</si>
  <si>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</si>
  <si>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</si>
  <si>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</si>
  <si>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</si>
  <si>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</si>
  <si>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</si>
  <si>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</si>
  <si>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</si>
  <si>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</si>
  <si>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</si>
  <si>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</si>
  <si>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</si>
  <si>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</si>
  <si>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</si>
  <si>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</si>
  <si>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</si>
  <si>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</si>
  <si>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</si>
  <si>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</si>
  <si>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</si>
  <si>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</si>
  <si>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</si>
  <si>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</si>
  <si>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</si>
  <si>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</si>
  <si>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</si>
  <si>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</si>
  <si>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</si>
  <si>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</si>
  <si>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</si>
  <si>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</si>
  <si>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</si>
  <si>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</si>
  <si>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</si>
  <si>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</si>
  <si>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</si>
  <si>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</si>
  <si>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</si>
  <si>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</si>
  <si>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</si>
  <si>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</si>
  <si>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</si>
  <si>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</si>
  <si>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</si>
  <si>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</si>
  <si>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</si>
  <si>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</si>
  <si>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</si>
  <si>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</si>
  <si>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</si>
  <si>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</si>
  <si>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</si>
  <si>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</si>
  <si>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</si>
  <si>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</si>
  <si>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</si>
  <si>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</si>
  <si>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</si>
  <si>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</si>
  <si>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</si>
  <si>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</si>
  <si>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</si>
  <si>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</si>
  <si>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</si>
  <si>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</si>
  <si>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</si>
  <si>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</si>
  <si>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</si>
  <si>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</si>
  <si>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</si>
  <si>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</si>
  <si>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</si>
  <si>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</si>
  <si>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</si>
  <si>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</si>
  <si>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</si>
  <si>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</si>
  <si>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</si>
  <si>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</si>
  <si>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</si>
  <si>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</si>
  <si>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</si>
  <si>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</si>
  <si>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</si>
  <si>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</si>
  <si>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</si>
  <si>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</si>
  <si>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</si>
  <si>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</si>
  <si>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</si>
  <si>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</si>
  <si>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</si>
  <si>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</si>
  <si>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</si>
  <si>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</si>
  <si>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</si>
  <si>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</si>
  <si>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</si>
  <si>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</si>
  <si>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</si>
  <si>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</si>
  <si>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</si>
  <si>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</si>
  <si>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</si>
  <si>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</si>
  <si>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</si>
  <si>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</si>
  <si>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</si>
  <si>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</si>
  <si>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</si>
  <si>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</si>
  <si>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</si>
  <si>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</si>
  <si>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</si>
  <si>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</si>
  <si>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</si>
  <si>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</si>
  <si>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</si>
  <si>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</si>
  <si>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</si>
  <si>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</si>
  <si>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</si>
  <si>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</si>
  <si>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</si>
  <si>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</si>
  <si>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</si>
  <si>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</si>
  <si>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</si>
  <si>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</si>
  <si>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</si>
  <si>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</si>
  <si>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</si>
  <si>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</si>
  <si>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</si>
  <si>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</si>
  <si>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</si>
  <si>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</si>
  <si>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</si>
  <si>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</si>
  <si>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</si>
  <si>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</si>
  <si>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</si>
  <si>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</si>
  <si>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</si>
  <si>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</si>
  <si>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</si>
  <si>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</si>
  <si>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</si>
  <si>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</si>
  <si>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</si>
  <si>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</si>
  <si>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</si>
  <si>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</si>
  <si>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</si>
  <si>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</si>
  <si>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</si>
  <si>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</si>
  <si>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</si>
  <si>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</si>
  <si>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</si>
  <si>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</si>
  <si>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</si>
  <si>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</si>
  <si>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</si>
  <si>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</si>
  <si>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</si>
  <si>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</si>
  <si>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</si>
  <si>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</si>
  <si>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</si>
  <si>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</si>
  <si>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</si>
  <si>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</si>
  <si>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</si>
  <si>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</si>
  <si>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</si>
  <si>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</si>
  <si>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</si>
  <si>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</si>
  <si>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</si>
  <si>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</si>
  <si>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</si>
  <si>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</si>
  <si>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</si>
  <si>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</si>
  <si>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</si>
  <si>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</si>
  <si>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</si>
  <si>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</si>
  <si>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</si>
  <si>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</si>
  <si>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</si>
  <si>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</si>
  <si>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</si>
  <si>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</si>
  <si>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</si>
  <si>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</si>
  <si>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</si>
  <si>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</si>
  <si>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</si>
  <si>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</si>
  <si>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</si>
  <si>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</si>
  <si>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</si>
  <si>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</si>
  <si>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</si>
  <si>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</si>
  <si>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</si>
  <si>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</si>
  <si>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</si>
  <si>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</si>
  <si>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</si>
  <si>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</si>
  <si>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</si>
  <si>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</si>
  <si>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</si>
  <si>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</si>
  <si>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</si>
  <si>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</si>
  <si>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</si>
  <si>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</si>
  <si>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</si>
  <si>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</si>
  <si>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</si>
  <si>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</si>
  <si>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</si>
  <si>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</si>
  <si>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</si>
  <si>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</si>
  <si>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</si>
  <si>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</si>
  <si>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</si>
  <si>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</si>
  <si>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</si>
  <si>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</si>
  <si>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</si>
  <si>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</si>
  <si>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</si>
  <si>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</si>
  <si>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</si>
  <si>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</si>
  <si>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</si>
  <si>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</si>
  <si>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</si>
  <si>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</si>
  <si>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</si>
  <si>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</si>
  <si>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</si>
  <si>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</si>
  <si>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</si>
  <si>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</si>
  <si>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</si>
  <si>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</si>
  <si>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</si>
  <si>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</si>
  <si>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</si>
  <si>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</si>
  <si>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</si>
  <si>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</si>
  <si>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</si>
  <si>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</si>
  <si>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</si>
  <si>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</si>
  <si>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</si>
  <si>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</si>
  <si>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</si>
  <si>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</si>
  <si>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</si>
  <si>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</si>
  <si>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</si>
  <si>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</si>
  <si>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</si>
  <si>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</si>
  <si>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</si>
  <si>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</si>
  <si>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</si>
  <si>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</si>
  <si>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</si>
  <si>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</si>
  <si>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</si>
  <si>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</si>
  <si>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</si>
  <si>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</si>
  <si>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</si>
  <si>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</si>
  <si>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</si>
  <si>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</si>
  <si>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</si>
  <si>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</si>
  <si>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</si>
  <si>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</si>
  <si>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</si>
  <si>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</si>
  <si>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</si>
  <si>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</si>
  <si>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</si>
  <si>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</si>
  <si>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</si>
  <si>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</si>
  <si>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</si>
  <si>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</si>
  <si>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</si>
  <si>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</si>
  <si>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</si>
  <si>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</si>
  <si>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</si>
  <si>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</si>
  <si>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</si>
  <si>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</si>
  <si>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</si>
  <si>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</si>
  <si>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</si>
  <si>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</si>
  <si>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</si>
  <si>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</si>
  <si>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</si>
  <si>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</si>
  <si>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</si>
  <si>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</si>
  <si>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</si>
  <si>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</si>
  <si>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</si>
  <si>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</si>
  <si>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</si>
  <si>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</si>
  <si>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</si>
  <si>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</si>
  <si>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</si>
  <si>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</si>
  <si>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</si>
  <si>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</si>
  <si>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</si>
  <si>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</si>
  <si>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</si>
  <si>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</si>
  <si>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</si>
  <si>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</si>
  <si>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</si>
  <si>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</si>
  <si>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</si>
  <si>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</si>
  <si>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</si>
  <si>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</si>
  <si>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</si>
  <si>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</si>
  <si>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</si>
  <si>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</si>
  <si>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</si>
  <si>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</si>
  <si>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</si>
  <si>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</si>
  <si>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</si>
  <si>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</si>
  <si>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</si>
  <si>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</si>
  <si>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</si>
  <si>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</si>
  <si>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</si>
  <si>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</si>
  <si>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</si>
  <si>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</si>
  <si>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</si>
  <si>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</si>
  <si>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</si>
  <si>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</si>
  <si>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</si>
  <si>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</si>
  <si>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</si>
  <si>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</si>
  <si>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</si>
  <si>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</si>
  <si>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</si>
  <si>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</si>
  <si>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</si>
  <si>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</si>
  <si>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</si>
  <si>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</si>
  <si>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</si>
  <si>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</si>
  <si>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</si>
  <si>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</si>
  <si>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</si>
  <si>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</si>
  <si>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</si>
  <si>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</si>
  <si>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</si>
  <si>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</si>
  <si>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</si>
  <si>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</si>
  <si>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</si>
  <si>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</si>
  <si>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</si>
  <si>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</si>
  <si>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</si>
  <si>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</si>
  <si>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</si>
  <si>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</si>
  <si>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</si>
  <si>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</si>
  <si>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</si>
  <si>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</si>
  <si>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</si>
  <si>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</si>
  <si>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</si>
  <si>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</si>
  <si>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</si>
  <si>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</si>
  <si>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</si>
  <si>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</si>
  <si>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</si>
  <si>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</si>
  <si>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</si>
  <si>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</si>
  <si>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</si>
  <si>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</si>
  <si>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</si>
  <si>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</si>
  <si>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</si>
  <si>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</si>
  <si>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</si>
  <si>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</si>
  <si>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</si>
  <si>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</si>
  <si>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</si>
  <si>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</si>
  <si>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</si>
  <si>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</si>
  <si>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</si>
  <si>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</si>
  <si>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</si>
  <si>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</si>
  <si>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</si>
  <si>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</si>
  <si>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</si>
  <si>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</si>
  <si>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</si>
  <si>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</si>
  <si>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</si>
  <si>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</si>
  <si>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</si>
  <si>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</si>
  <si>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</si>
  <si>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</si>
  <si>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</si>
  <si>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</si>
  <si>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</si>
  <si>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</si>
  <si>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</si>
  <si>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</si>
  <si>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</si>
  <si>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</si>
  <si>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</si>
  <si>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</si>
  <si>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</si>
  <si>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</si>
  <si>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</si>
  <si>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</si>
  <si>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</si>
  <si>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</si>
  <si>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</si>
  <si>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</si>
  <si>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</si>
  <si>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</si>
  <si>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</si>
  <si>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</si>
  <si>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</si>
  <si>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</si>
  <si>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</si>
  <si>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</si>
  <si>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</si>
  <si>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</si>
  <si>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</si>
  <si>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</si>
  <si>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</si>
  <si>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</si>
  <si>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</si>
  <si>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</si>
  <si>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</si>
  <si>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</si>
  <si>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</si>
  <si>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</si>
  <si>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</si>
  <si>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</si>
  <si>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</si>
  <si>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</si>
  <si>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</si>
  <si>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</si>
  <si>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</si>
  <si>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</si>
  <si>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</si>
  <si>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</si>
  <si>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</si>
  <si>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</si>
  <si>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</si>
  <si>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</si>
  <si>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</si>
  <si>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</si>
  <si>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</si>
  <si>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</si>
  <si>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</si>
  <si>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</si>
  <si>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</si>
  <si>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</si>
  <si>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</si>
  <si>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</si>
  <si>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</si>
  <si>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</si>
  <si>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</si>
  <si>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</si>
  <si>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</si>
  <si>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</si>
  <si>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</si>
  <si>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</si>
  <si>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</si>
  <si>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</si>
  <si>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</si>
  <si>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</si>
  <si>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</si>
  <si>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</si>
  <si>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</si>
  <si>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</si>
  <si>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</si>
  <si>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</si>
  <si>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</si>
  <si>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</si>
  <si>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</si>
  <si>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</si>
  <si>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</si>
  <si>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</si>
  <si>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</si>
  <si>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</si>
  <si>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</si>
  <si>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</si>
  <si>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</si>
  <si>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</si>
  <si>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</si>
  <si>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</si>
  <si>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</si>
  <si>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</si>
  <si>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</si>
  <si>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</si>
  <si>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</si>
  <si>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</si>
  <si>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</si>
  <si>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</si>
  <si>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</si>
  <si>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</si>
  <si>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</si>
  <si>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</si>
  <si>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</si>
  <si>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</si>
  <si>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</si>
  <si>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</si>
  <si>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</si>
  <si>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</si>
  <si>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</si>
  <si>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</si>
  <si>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</si>
  <si>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</si>
  <si>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</si>
  <si>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</si>
  <si>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</si>
  <si>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</si>
  <si>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</si>
  <si>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</si>
  <si>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</si>
  <si>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</si>
  <si>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</si>
  <si>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</si>
  <si>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</si>
  <si>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</si>
  <si>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</si>
  <si>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</si>
  <si>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</si>
  <si>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</si>
  <si>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</si>
  <si>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</si>
  <si>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</si>
  <si>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</si>
  <si>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</si>
  <si>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</si>
  <si>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</si>
  <si>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</si>
  <si>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</si>
  <si>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</si>
  <si>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</si>
  <si>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</si>
  <si>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</si>
  <si>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</si>
  <si>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</si>
  <si>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</si>
  <si>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</si>
  <si>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</si>
  <si>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</si>
  <si>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</si>
  <si>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</si>
  <si>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</si>
  <si>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</si>
  <si>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</si>
  <si>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</si>
  <si>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</si>
  <si>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</si>
  <si>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</si>
  <si>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</si>
  <si>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</si>
  <si>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</si>
  <si>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</si>
  <si>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</si>
  <si>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</si>
  <si>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</si>
  <si>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</si>
  <si>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</si>
  <si>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</si>
  <si>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</si>
  <si>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</si>
  <si>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</si>
  <si>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</si>
  <si>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</si>
  <si>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</si>
  <si>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</si>
  <si>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</si>
  <si>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</si>
  <si>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</si>
  <si>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</si>
  <si>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</si>
  <si>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</si>
  <si>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</si>
  <si>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</si>
  <si>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</si>
  <si>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</si>
  <si>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</si>
  <si>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</si>
  <si>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</si>
  <si>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</si>
  <si>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</si>
  <si>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</si>
  <si>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</si>
  <si>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</si>
  <si>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</si>
  <si>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</si>
  <si>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</si>
  <si>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</si>
  <si>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</si>
  <si>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</si>
  <si>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</si>
  <si>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</si>
  <si>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</si>
  <si>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</si>
  <si>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</si>
  <si>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</si>
  <si>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</si>
  <si>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</si>
  <si>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</si>
  <si>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</si>
  <si>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</si>
  <si>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</si>
  <si>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</si>
  <si>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</si>
  <si>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</si>
  <si>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</si>
  <si>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</si>
  <si>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</si>
  <si>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</si>
  <si>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</si>
  <si>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</si>
  <si>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</si>
  <si>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</si>
  <si>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</si>
  <si>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</si>
  <si>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</si>
  <si>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</si>
  <si>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</si>
  <si>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</si>
  <si>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</si>
  <si>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</si>
  <si>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</si>
  <si>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</si>
  <si>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</si>
  <si>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</si>
  <si>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</si>
  <si>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</si>
  <si>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</si>
  <si>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</si>
  <si>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</si>
  <si>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</si>
  <si>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</si>
  <si>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</si>
  <si>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</si>
  <si>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</si>
  <si>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</si>
  <si>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</si>
  <si>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</si>
  <si>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</si>
  <si>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</si>
  <si>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</si>
  <si>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</si>
  <si>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</si>
  <si>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</si>
  <si>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</si>
  <si>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</si>
  <si>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</si>
  <si>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</si>
  <si>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</si>
  <si>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</si>
  <si>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</si>
  <si>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</si>
  <si>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</si>
  <si>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</si>
  <si>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</si>
  <si>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</si>
  <si>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</si>
  <si>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</si>
  <si>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</si>
  <si>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</si>
  <si>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</si>
  <si>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</si>
  <si>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</si>
  <si>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</si>
  <si>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</si>
  <si>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</si>
  <si>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</si>
  <si>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</si>
  <si>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</si>
  <si>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</si>
  <si>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</si>
  <si>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</si>
  <si>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</si>
  <si>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</si>
  <si>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</si>
  <si>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</si>
  <si>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</si>
  <si>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</si>
  <si>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</si>
  <si>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</si>
  <si>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</si>
  <si>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</si>
  <si>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</si>
  <si>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</si>
  <si>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</si>
  <si>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</si>
  <si>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</si>
  <si>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</si>
  <si>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</si>
  <si>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</si>
  <si>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</si>
  <si>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</si>
  <si>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</si>
  <si>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</si>
  <si>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</si>
  <si>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</si>
  <si>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</si>
  <si>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</si>
  <si>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</si>
  <si>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</si>
  <si>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</si>
  <si>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</si>
  <si>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</si>
  <si>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</si>
  <si>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</si>
  <si>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</si>
  <si>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</si>
  <si>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</si>
  <si>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</si>
  <si>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</si>
  <si>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</si>
  <si>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</si>
  <si>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</si>
  <si>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</si>
  <si>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</si>
  <si>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</si>
  <si>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</si>
  <si>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</si>
  <si>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</si>
  <si>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</si>
  <si>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</si>
  <si>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</si>
  <si>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</si>
  <si>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</si>
  <si>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</si>
  <si>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</si>
  <si>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</si>
  <si>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</si>
  <si>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</si>
  <si>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</si>
  <si>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</si>
  <si>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</si>
  <si>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</si>
  <si>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</si>
  <si>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</si>
  <si>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</si>
  <si>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</si>
  <si>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</si>
  <si>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</si>
  <si>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</si>
  <si>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</si>
  <si>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</si>
  <si>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</si>
  <si>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</si>
  <si>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</si>
  <si>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</si>
  <si>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</si>
  <si>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</si>
  <si>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</si>
  <si>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</si>
  <si>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</si>
  <si>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</si>
  <si>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</si>
  <si>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</si>
  <si>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</si>
  <si>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</si>
  <si>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</si>
  <si>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</si>
  <si>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</si>
  <si>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</si>
  <si>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</si>
  <si>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</si>
  <si>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</si>
  <si>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</si>
  <si>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</si>
  <si>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</si>
  <si>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</si>
  <si>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</si>
  <si>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</si>
  <si>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</si>
  <si>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</si>
  <si>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</si>
  <si>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</si>
  <si>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</si>
  <si>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</si>
  <si>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</si>
  <si>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</si>
  <si>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</si>
  <si>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</si>
  <si>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</si>
  <si>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</si>
  <si>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</si>
  <si>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</si>
  <si>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</si>
  <si>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</si>
  <si>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</si>
  <si>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</si>
  <si>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</si>
  <si>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</si>
  <si>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</si>
  <si>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</si>
  <si>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</si>
  <si>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</si>
  <si>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</si>
  <si>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</si>
  <si>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</si>
  <si>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</si>
  <si>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</si>
  <si>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</si>
  <si>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</si>
  <si>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</si>
  <si>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</si>
  <si>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</si>
  <si>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</si>
  <si>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</si>
  <si>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</si>
  <si>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</si>
  <si>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</si>
  <si>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</si>
  <si>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</si>
  <si>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</si>
  <si>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</si>
  <si>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</si>
  <si>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</si>
  <si>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</si>
  <si>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</si>
  <si>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</si>
  <si>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</si>
  <si>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</si>
  <si>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</si>
  <si>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</si>
  <si>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</si>
  <si>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</si>
  <si>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</si>
  <si>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</si>
  <si>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</si>
  <si>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</si>
  <si>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</si>
  <si>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</si>
  <si>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</si>
  <si>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</si>
  <si>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</si>
  <si>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</si>
  <si>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</si>
  <si>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</si>
  <si>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</si>
  <si>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</si>
  <si>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</si>
  <si>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</si>
  <si>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</si>
  <si>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</si>
  <si>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</si>
  <si>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</si>
  <si>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</si>
  <si>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</si>
  <si>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</si>
  <si>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</si>
  <si>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</si>
  <si>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</si>
  <si>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</si>
  <si>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</si>
  <si>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</si>
  <si>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</si>
  <si>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</si>
  <si>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</si>
  <si>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</si>
  <si>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</si>
  <si>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</si>
  <si>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</si>
  <si>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</si>
  <si>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</si>
  <si>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</si>
  <si>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</si>
  <si>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</si>
  <si>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</si>
  <si>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</si>
  <si>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</si>
  <si>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</si>
  <si>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</si>
  <si>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</si>
  <si>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</si>
  <si>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</si>
  <si>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</si>
  <si>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</si>
  <si>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</si>
  <si>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</si>
  <si>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</si>
  <si>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</si>
  <si>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</si>
  <si>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</si>
  <si>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</si>
  <si>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</si>
  <si>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</si>
  <si>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</si>
  <si>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</si>
  <si>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</si>
  <si>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</si>
  <si>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</si>
  <si>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</si>
  <si>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</si>
  <si>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</si>
  <si>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</si>
  <si>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</si>
  <si>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</si>
  <si>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</si>
  <si>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</si>
  <si>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</si>
  <si>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</si>
  <si>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</si>
  <si>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</si>
  <si>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</si>
  <si>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</si>
  <si>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</si>
  <si>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</si>
  <si>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</si>
  <si>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</si>
  <si>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</si>
  <si>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</si>
  <si>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</si>
  <si>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</si>
  <si>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</si>
  <si>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</si>
  <si>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</si>
  <si>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</si>
  <si>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</si>
  <si>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</si>
  <si>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</si>
  <si>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</si>
  <si>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</si>
  <si>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</si>
  <si>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</si>
  <si>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</si>
  <si>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</si>
  <si>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</si>
  <si>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</si>
  <si>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</si>
  <si>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</si>
  <si>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</si>
  <si>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</si>
  <si>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</si>
  <si>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</si>
  <si>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</si>
  <si>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</si>
  <si>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</si>
  <si>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</si>
  <si>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</si>
  <si>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</si>
  <si>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</si>
  <si>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</si>
  <si>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</si>
  <si>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</si>
  <si>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</si>
  <si>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</si>
  <si>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</si>
  <si>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</si>
  <si>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</si>
  <si>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</si>
  <si>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</si>
  <si>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</si>
  <si>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</si>
  <si>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</si>
  <si>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</si>
  <si>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</si>
  <si>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</si>
  <si>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</si>
  <si>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</si>
  <si>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</si>
  <si>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</si>
  <si>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</si>
  <si>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</si>
  <si>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</si>
  <si>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</si>
  <si>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</si>
  <si>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</si>
  <si>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</si>
  <si>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</si>
  <si>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</si>
  <si>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</si>
  <si>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</si>
  <si>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</si>
  <si>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</si>
  <si>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</si>
  <si>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</si>
  <si>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</si>
  <si>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</si>
  <si>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</si>
  <si>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</si>
  <si>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</si>
  <si>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</si>
  <si>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</si>
  <si>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</si>
  <si>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</si>
  <si>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</si>
  <si>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</si>
  <si>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</si>
  <si>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</si>
  <si>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</si>
  <si>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</si>
  <si>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</si>
  <si>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</si>
  <si>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</si>
  <si>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</si>
  <si>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</si>
  <si>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</si>
  <si>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</si>
  <si>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</si>
  <si>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</si>
  <si>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</si>
  <si>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</si>
  <si>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</si>
  <si>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</si>
  <si>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</si>
  <si>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</si>
  <si>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</si>
  <si>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</si>
  <si>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</si>
  <si>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</si>
  <si>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</si>
  <si>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</si>
  <si>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</si>
  <si>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</si>
  <si>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</si>
  <si>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</si>
  <si>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</si>
  <si>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</si>
  <si>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</si>
  <si>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</si>
  <si>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</si>
  <si>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</si>
  <si>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</si>
  <si>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</si>
  <si>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</si>
  <si>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</si>
  <si>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</si>
  <si>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</si>
  <si>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</si>
  <si>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</si>
  <si>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</si>
  <si>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</si>
  <si>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</si>
  <si>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</si>
  <si>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</si>
  <si>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</si>
  <si>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</si>
  <si>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</si>
  <si>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</si>
  <si>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</si>
  <si>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</si>
  <si>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</si>
  <si>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</si>
  <si>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</si>
  <si>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</si>
  <si>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</si>
  <si>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</si>
  <si>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</si>
  <si>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</si>
  <si>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</si>
  <si>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</si>
  <si>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</si>
  <si>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</si>
  <si>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</si>
  <si>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</si>
  <si>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</si>
  <si>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</si>
  <si>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</si>
  <si>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</si>
  <si>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</si>
  <si>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</si>
  <si>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</si>
  <si>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</si>
  <si>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</si>
  <si>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</si>
  <si>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</si>
  <si>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</si>
  <si>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</si>
  <si>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</si>
  <si>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</si>
  <si>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</si>
  <si>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</si>
  <si>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</si>
  <si>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</si>
  <si>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</si>
  <si>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</si>
  <si>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</si>
  <si>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</si>
  <si>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</si>
  <si>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</si>
  <si>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</si>
  <si>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</si>
  <si>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</si>
  <si>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</si>
  <si>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</si>
  <si>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</si>
  <si>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</si>
  <si>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</si>
  <si>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</si>
  <si>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</si>
  <si>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</si>
  <si>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</si>
  <si>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</si>
  <si>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</si>
  <si>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</si>
  <si>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</si>
  <si>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</si>
  <si>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</si>
  <si>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</si>
  <si>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</si>
  <si>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</si>
  <si>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</si>
  <si>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</si>
  <si>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</si>
  <si>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</si>
  <si>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</si>
  <si>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</si>
  <si>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</si>
  <si>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</si>
  <si>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</si>
  <si>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</si>
  <si>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</si>
  <si>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</si>
  <si>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</si>
  <si>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</si>
  <si>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</si>
  <si>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</si>
  <si>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</si>
  <si>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</si>
  <si>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</si>
  <si>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</si>
  <si>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</si>
  <si>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</si>
  <si>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</si>
  <si>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</si>
  <si>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</si>
  <si>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</si>
  <si>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</si>
  <si>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</si>
  <si>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</si>
  <si>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</si>
  <si>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</si>
  <si>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</si>
  <si>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</si>
  <si>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</si>
  <si>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</si>
  <si>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</si>
  <si>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</si>
  <si>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</si>
  <si>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</si>
  <si>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</si>
  <si>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</si>
  <si>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</si>
  <si>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</si>
  <si>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</si>
  <si>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</si>
  <si>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</si>
  <si>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</si>
  <si>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</si>
  <si>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</si>
  <si>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</si>
  <si>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</si>
  <si>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</si>
  <si>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</si>
  <si>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</si>
  <si>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</si>
  <si>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</si>
  <si>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</si>
  <si>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</si>
  <si>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</si>
  <si>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</si>
  <si>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</si>
  <si>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</si>
  <si>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</si>
  <si>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</si>
  <si>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</si>
  <si>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</si>
  <si>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</si>
  <si>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</si>
  <si>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</si>
  <si>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</si>
  <si>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</si>
  <si>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</si>
  <si>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</si>
  <si>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</si>
  <si>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</si>
  <si>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</si>
  <si>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</si>
  <si>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</si>
  <si>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</si>
  <si>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</si>
  <si>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</si>
  <si>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</si>
  <si>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</si>
  <si>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</si>
  <si>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</si>
  <si>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</si>
  <si>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</si>
  <si>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</si>
  <si>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</si>
  <si>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</si>
  <si>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</si>
  <si>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</si>
  <si>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</si>
  <si>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</si>
  <si>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</si>
  <si>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</si>
  <si>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</si>
  <si>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</si>
  <si>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</si>
  <si>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</si>
  <si>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</si>
  <si>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</si>
  <si>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</si>
  <si>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</si>
  <si>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</si>
  <si>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</si>
  <si>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</si>
  <si>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</si>
  <si>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</si>
  <si>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</si>
  <si>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</si>
  <si>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</si>
  <si>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</si>
  <si>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</si>
  <si>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</si>
  <si>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</si>
  <si>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</si>
  <si>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</si>
  <si>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</si>
  <si>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</si>
  <si>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</si>
  <si>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</si>
  <si>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</si>
  <si>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</si>
  <si>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</si>
  <si>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</si>
  <si>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</si>
  <si>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</si>
  <si>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</si>
  <si>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</si>
  <si>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</si>
  <si>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</si>
  <si>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</si>
  <si>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</si>
  <si>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</si>
  <si>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</si>
  <si>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</si>
  <si>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</si>
  <si>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</si>
  <si>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</si>
  <si>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</si>
  <si>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</si>
  <si>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</si>
  <si>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</si>
  <si>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</si>
  <si>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</si>
  <si>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</si>
  <si>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</si>
  <si>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</si>
  <si>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</si>
  <si>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</si>
  <si>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</si>
  <si>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</si>
  <si>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</si>
  <si>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</si>
  <si>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</si>
  <si>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</si>
  <si>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</si>
  <si>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</si>
  <si>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</si>
  <si>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</si>
  <si>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</si>
  <si>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</si>
  <si>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</si>
  <si>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</si>
  <si>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</si>
  <si>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</si>
  <si>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</si>
  <si>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</si>
  <si>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</si>
  <si>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</si>
  <si>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</si>
  <si>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</si>
  <si>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</si>
  <si>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</si>
  <si>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</si>
  <si>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</si>
  <si>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</si>
  <si>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</si>
  <si>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</si>
  <si>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</si>
  <si>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</si>
  <si>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</si>
  <si>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</si>
  <si>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</si>
  <si>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</si>
  <si>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</si>
  <si>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</si>
  <si>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</si>
  <si>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</si>
  <si>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</si>
  <si>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</si>
  <si>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</si>
  <si>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</si>
  <si>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</si>
  <si>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</si>
  <si>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</si>
  <si>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</si>
  <si>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</si>
  <si>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</si>
  <si>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</si>
  <si>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</si>
  <si>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</si>
  <si>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</si>
  <si>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</si>
  <si>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</si>
  <si>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</si>
  <si>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</si>
  <si>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</si>
  <si>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</si>
  <si>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</si>
  <si>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</si>
  <si>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</si>
  <si>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</si>
  <si>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</si>
  <si>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</si>
  <si>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</si>
  <si>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</si>
  <si>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</si>
  <si>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</si>
  <si>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</si>
  <si>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</si>
  <si>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</si>
  <si>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</si>
  <si>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</si>
  <si>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</si>
  <si>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</si>
  <si>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</si>
  <si>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</si>
  <si>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</si>
  <si>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</si>
  <si>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</si>
  <si>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</si>
  <si>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</si>
  <si>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</si>
  <si>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</si>
  <si>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</si>
  <si>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</si>
  <si>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</si>
  <si>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</si>
  <si>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</si>
  <si>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</si>
  <si>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</si>
  <si>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</si>
  <si>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</si>
  <si>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</si>
  <si>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</si>
  <si>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</si>
  <si>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</si>
  <si>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</si>
  <si>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</si>
  <si>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</si>
  <si>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</si>
  <si>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</si>
  <si>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</si>
  <si>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</si>
  <si>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</si>
  <si>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</si>
  <si>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</si>
  <si>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</si>
  <si>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</si>
  <si>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</si>
  <si>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</si>
  <si>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</si>
  <si>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</si>
  <si>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</si>
  <si>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</si>
  <si>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</si>
  <si>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</si>
  <si>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</si>
  <si>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</si>
  <si>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</si>
  <si>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</si>
  <si>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</si>
  <si>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</si>
  <si>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</si>
  <si>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</si>
  <si>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</si>
  <si>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</si>
  <si>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</si>
  <si>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</si>
  <si>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</si>
  <si>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</si>
  <si>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</si>
  <si>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</si>
  <si>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</si>
  <si>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</si>
  <si>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</si>
  <si>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</si>
  <si>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</si>
  <si>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</si>
  <si>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</si>
  <si>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</si>
  <si>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</si>
  <si>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</si>
  <si>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</si>
  <si>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</si>
  <si>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</si>
  <si>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</si>
  <si>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</si>
  <si>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</si>
  <si>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</si>
  <si>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</si>
  <si>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</si>
  <si>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</si>
  <si>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</si>
  <si>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</si>
  <si>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</si>
  <si>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</si>
  <si>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</si>
  <si>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</si>
  <si>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</si>
  <si>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</si>
  <si>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</si>
  <si>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</si>
  <si>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</si>
  <si>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</si>
  <si>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</si>
  <si>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</si>
  <si>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</si>
  <si>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</si>
  <si>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</si>
  <si>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</si>
  <si>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</si>
  <si>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</si>
  <si>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</si>
  <si>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</si>
  <si>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</si>
  <si>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</si>
  <si>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</si>
  <si>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</si>
  <si>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</si>
  <si>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</si>
  <si>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</si>
  <si>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</si>
  <si>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</si>
  <si>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</si>
  <si>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</si>
  <si>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</si>
  <si>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</si>
  <si>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</si>
  <si>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</si>
  <si>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</si>
  <si>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</si>
  <si>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</si>
  <si>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</si>
  <si>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</si>
  <si>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</si>
  <si>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</si>
  <si>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</si>
  <si>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</si>
  <si>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</si>
  <si>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</si>
  <si>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</si>
  <si>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</si>
  <si>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</si>
  <si>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</si>
  <si>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</si>
  <si>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</si>
  <si>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</si>
  <si>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</si>
  <si>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</si>
  <si>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</si>
  <si>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</si>
  <si>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</si>
  <si>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</si>
  <si>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</si>
  <si>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</si>
  <si>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</si>
  <si>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</si>
  <si>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</si>
  <si>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</si>
  <si>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</si>
  <si>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</si>
  <si>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</si>
  <si>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</si>
  <si>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</si>
  <si>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</si>
  <si>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</si>
  <si>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</si>
  <si>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</si>
  <si>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</si>
  <si>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</si>
  <si>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</si>
  <si>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</si>
  <si>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</si>
  <si>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</si>
  <si>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</si>
  <si>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</si>
  <si>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</si>
  <si>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</si>
  <si>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</si>
  <si>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</si>
  <si>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</si>
  <si>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</si>
  <si>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</si>
  <si>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</si>
  <si>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</si>
  <si>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</si>
  <si>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</si>
  <si>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</si>
  <si>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</si>
  <si>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</si>
  <si>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</si>
  <si>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</si>
  <si>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</si>
  <si>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</si>
  <si>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</si>
  <si>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</si>
  <si>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</si>
  <si>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</si>
  <si>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</si>
  <si>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</si>
  <si>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</si>
  <si>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</si>
  <si>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</si>
  <si>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</si>
  <si>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</si>
  <si>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</si>
  <si>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</si>
  <si>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</si>
  <si>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</si>
  <si>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</si>
  <si>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</si>
  <si>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</si>
  <si>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</si>
  <si>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</si>
  <si>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</si>
  <si>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</si>
  <si>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</si>
  <si>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</si>
  <si>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</si>
  <si>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</si>
  <si>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</si>
  <si>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</si>
  <si>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</si>
  <si>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</si>
  <si>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</si>
  <si>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</si>
  <si>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</si>
  <si>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</si>
  <si>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</si>
  <si>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</si>
  <si>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</si>
  <si>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</si>
  <si>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</si>
  <si>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</si>
  <si>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</si>
  <si>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</si>
  <si>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</si>
  <si>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</si>
  <si>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</si>
  <si>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</si>
  <si>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</si>
  <si>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</si>
  <si>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</si>
  <si>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</si>
  <si>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</si>
  <si>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</si>
  <si>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</si>
  <si>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</si>
  <si>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</si>
  <si>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</si>
  <si>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</si>
  <si>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</si>
  <si>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</si>
  <si>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</si>
  <si>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</si>
  <si>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</si>
  <si>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</si>
  <si>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</si>
  <si>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</si>
  <si>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</si>
  <si>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</si>
  <si>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</si>
  <si>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</si>
  <si>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</si>
  <si>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</si>
  <si>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</si>
  <si>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</si>
  <si>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</si>
  <si>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</si>
  <si>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</si>
  <si>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</si>
  <si>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</si>
  <si>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</si>
  <si>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</si>
  <si>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</si>
  <si>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</si>
  <si>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</si>
  <si>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</si>
  <si>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</si>
  <si>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</si>
  <si>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</si>
  <si>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</si>
  <si>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</si>
  <si>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</si>
  <si>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</si>
  <si>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</si>
  <si>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</si>
  <si>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</si>
  <si>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</si>
  <si>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</si>
  <si>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</si>
  <si>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</si>
  <si>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</si>
  <si>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</si>
  <si>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</si>
  <si>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</si>
  <si>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</si>
  <si>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</si>
  <si>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</si>
  <si>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</si>
  <si>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</si>
  <si>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</si>
  <si>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</si>
  <si>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</si>
  <si>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</si>
  <si>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</si>
  <si>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</si>
  <si>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</si>
  <si>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</si>
  <si>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</si>
  <si>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</si>
  <si>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</si>
  <si>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</si>
  <si>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</si>
  <si>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</si>
  <si>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</si>
  <si>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</si>
  <si>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</si>
  <si>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</si>
  <si>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</si>
  <si>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</si>
  <si>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</si>
  <si>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</si>
  <si>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</si>
  <si>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</si>
  <si>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</si>
  <si>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</si>
  <si>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</si>
  <si>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</si>
  <si>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</si>
  <si>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</si>
  <si>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</si>
  <si>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</si>
  <si>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</si>
  <si>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</si>
  <si>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</si>
  <si>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</si>
  <si>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</si>
  <si>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</si>
  <si>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</si>
  <si>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</si>
  <si>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</si>
  <si>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</si>
  <si>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</si>
  <si>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</si>
  <si>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</si>
  <si>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</si>
  <si>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</si>
  <si>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</si>
  <si>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</si>
  <si>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</si>
  <si>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</si>
  <si>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</si>
  <si>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</si>
  <si>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</si>
  <si>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</si>
  <si>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</si>
  <si>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</si>
  <si>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</si>
  <si>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</si>
  <si>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</si>
  <si>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</si>
  <si>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</si>
  <si>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</si>
  <si>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</si>
  <si>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</si>
  <si>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</si>
  <si>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</si>
  <si>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</si>
  <si>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</si>
  <si>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</si>
  <si>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</si>
  <si>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</si>
  <si>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</si>
  <si>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</si>
  <si>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</si>
  <si>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</si>
  <si>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</si>
  <si>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</si>
  <si>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</si>
  <si>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</si>
  <si>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</si>
  <si>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</si>
  <si>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</si>
  <si>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</si>
  <si>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</si>
  <si>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</si>
  <si>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</si>
  <si>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</si>
  <si>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</si>
  <si>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</si>
  <si>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</si>
  <si>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</si>
  <si>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</si>
  <si>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</si>
  <si>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</si>
  <si>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</si>
  <si>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</si>
  <si>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</si>
  <si>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</si>
  <si>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</si>
  <si>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</si>
  <si>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</si>
  <si>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</si>
  <si>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</si>
  <si>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</si>
  <si>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</si>
  <si>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</si>
  <si>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</si>
  <si>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</si>
  <si>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</si>
  <si>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</si>
  <si>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</si>
  <si>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</si>
  <si>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</si>
  <si>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</si>
  <si>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</si>
  <si>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</si>
  <si>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</si>
  <si>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</si>
  <si>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</si>
  <si>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</si>
  <si>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</si>
  <si>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</si>
  <si>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</si>
  <si>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</si>
  <si>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</si>
  <si>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</si>
  <si>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</si>
  <si>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</si>
  <si>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</si>
  <si>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</si>
  <si>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</si>
  <si>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</si>
  <si>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</si>
  <si>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</si>
  <si>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</si>
  <si>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</si>
  <si>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</si>
  <si>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</si>
  <si>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</si>
  <si>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</si>
  <si>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</si>
  <si>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</si>
  <si>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</si>
  <si>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</si>
  <si>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</si>
  <si>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</si>
  <si>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</si>
  <si>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</si>
  <si>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</si>
  <si>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</si>
  <si>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</si>
  <si>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</si>
  <si>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</si>
  <si>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</si>
  <si>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</si>
  <si>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</si>
  <si>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</si>
  <si>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</si>
  <si>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</si>
  <si>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</si>
  <si>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</si>
  <si>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</si>
  <si>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</si>
  <si>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</si>
  <si>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</si>
  <si>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</si>
  <si>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</si>
  <si>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</si>
  <si>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</si>
  <si>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</si>
  <si>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</si>
  <si>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</si>
  <si>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</si>
  <si>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</si>
  <si>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</si>
  <si>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</si>
  <si>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</si>
  <si>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</si>
  <si>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</si>
  <si>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</si>
  <si>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</si>
  <si>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</si>
  <si>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</si>
  <si>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</si>
  <si>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</si>
  <si>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</si>
  <si>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</si>
  <si>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</si>
  <si>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</si>
  <si>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</si>
  <si>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</si>
  <si>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</si>
  <si>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</si>
  <si>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</si>
  <si>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</si>
  <si>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</si>
  <si>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</si>
  <si>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</si>
  <si>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</si>
  <si>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</si>
  <si>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</si>
  <si>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</si>
  <si>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</si>
  <si>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</si>
  <si>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</si>
  <si>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</si>
  <si>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</si>
  <si>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</si>
  <si>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</si>
  <si>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</si>
  <si>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</si>
  <si>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</si>
  <si>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</si>
  <si>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</si>
  <si>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</si>
  <si>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</si>
  <si>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</si>
  <si>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</si>
  <si>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</si>
  <si>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</si>
  <si>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</si>
  <si>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</si>
  <si>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</si>
  <si>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</si>
  <si>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</si>
  <si>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</si>
  <si>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</si>
  <si>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</si>
  <si>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</si>
  <si>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</si>
  <si>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</si>
  <si>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</si>
  <si>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</si>
  <si>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</si>
  <si>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</si>
  <si>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</si>
  <si>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</si>
  <si>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</si>
  <si>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</si>
  <si>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</si>
  <si>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</si>
  <si>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</si>
  <si>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</si>
  <si>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</si>
  <si>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</si>
  <si>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</si>
  <si>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</si>
  <si>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</si>
  <si>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</si>
  <si>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</si>
  <si>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</si>
  <si>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</si>
  <si>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</si>
  <si>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</si>
  <si>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</si>
  <si>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</si>
  <si>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</si>
  <si>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</si>
  <si>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</si>
  <si>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</si>
  <si>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</si>
  <si>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</si>
  <si>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</si>
  <si>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</si>
  <si>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</si>
  <si>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</si>
  <si>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</si>
  <si>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</si>
  <si>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</si>
  <si>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</si>
  <si>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</si>
  <si>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</si>
  <si>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</si>
  <si>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</si>
  <si>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</si>
  <si>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</si>
  <si>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</si>
  <si>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</si>
  <si>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</si>
  <si>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</si>
  <si>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</si>
  <si>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</si>
  <si>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</si>
  <si>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</si>
  <si>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</si>
  <si>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</si>
  <si>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</si>
  <si>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</si>
  <si>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</si>
  <si>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</si>
  <si>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</si>
  <si>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</si>
  <si>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</si>
  <si>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</si>
  <si>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</si>
  <si>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</si>
  <si>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</si>
  <si>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</si>
  <si>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</si>
  <si>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</si>
  <si>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</si>
  <si>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</si>
  <si>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</si>
  <si>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</si>
  <si>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</si>
  <si>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</si>
  <si>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</si>
  <si>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</si>
  <si>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</si>
  <si>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</si>
  <si>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</si>
  <si>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</si>
  <si>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</si>
  <si>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</si>
  <si>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</si>
  <si>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</si>
  <si>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</si>
  <si>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</si>
  <si>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</si>
  <si>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</si>
  <si>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</si>
  <si>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</si>
  <si>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</si>
  <si>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</si>
  <si>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</si>
  <si>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</si>
  <si>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</si>
  <si>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</si>
  <si>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</si>
  <si>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</si>
  <si>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</si>
  <si>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</si>
  <si>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</si>
  <si>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</si>
  <si>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</si>
  <si>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</si>
  <si>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</si>
  <si>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</si>
  <si>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</si>
  <si>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</si>
  <si>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</si>
  <si>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</si>
  <si>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</si>
  <si>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</si>
  <si>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</si>
  <si>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</si>
  <si>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</si>
  <si>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</si>
  <si>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</si>
  <si>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</si>
  <si>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</si>
  <si>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</si>
  <si>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</si>
  <si>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</si>
  <si>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</si>
  <si>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</si>
  <si>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</si>
  <si>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</si>
  <si>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</si>
  <si>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</si>
  <si>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</si>
  <si>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</si>
  <si>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</si>
  <si>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</si>
  <si>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</si>
  <si>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</si>
  <si>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</si>
  <si>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</si>
  <si>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</si>
  <si>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</si>
  <si>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</si>
  <si>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</si>
  <si>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</si>
  <si>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</si>
  <si>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</si>
  <si>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</si>
  <si>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</si>
  <si>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</si>
  <si>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</si>
  <si>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</si>
  <si>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</si>
  <si>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</si>
  <si>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</si>
  <si>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</si>
  <si>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</si>
  <si>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</si>
  <si>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</si>
  <si>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</si>
  <si>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</si>
  <si>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</si>
  <si>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</si>
  <si>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</si>
  <si>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</si>
  <si>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</si>
  <si>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</si>
  <si>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</si>
  <si>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</si>
  <si>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</si>
  <si>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</si>
  <si>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</si>
  <si>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</si>
  <si>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</si>
  <si>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</si>
  <si>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</si>
  <si>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</si>
  <si>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</si>
  <si>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</si>
  <si>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</si>
  <si>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</si>
  <si>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</si>
  <si>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</si>
  <si>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</si>
  <si>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</si>
  <si>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</si>
  <si>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</si>
  <si>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</si>
  <si>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</si>
  <si>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</si>
  <si>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</si>
  <si>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</si>
  <si>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</si>
  <si>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</si>
  <si>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</si>
  <si>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</si>
  <si>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</si>
  <si>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</si>
  <si>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</si>
  <si>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</si>
  <si>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</si>
  <si>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</si>
  <si>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</si>
  <si>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</si>
  <si>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</si>
  <si>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</si>
  <si>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</si>
  <si>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</si>
  <si>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</si>
  <si>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</si>
  <si>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</si>
  <si>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</si>
  <si>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</si>
  <si>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</si>
  <si>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</si>
  <si>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</si>
  <si>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</si>
  <si>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</si>
  <si>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</si>
  <si>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</si>
  <si>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</si>
  <si>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</si>
  <si>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</si>
  <si>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</si>
  <si>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</si>
  <si>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</si>
  <si>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</si>
  <si>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</si>
  <si>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</si>
  <si>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</si>
  <si>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</si>
  <si>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</si>
  <si>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</si>
  <si>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</si>
  <si>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</si>
  <si>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</si>
  <si>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</si>
  <si>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</si>
  <si>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</si>
  <si>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</si>
  <si>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</si>
  <si>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</si>
  <si>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</si>
  <si>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</si>
  <si>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</si>
  <si>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</si>
  <si>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</si>
  <si>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</si>
  <si>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</si>
  <si>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</si>
  <si>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</si>
  <si>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</si>
  <si>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</si>
  <si>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</si>
  <si>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</si>
  <si>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</si>
  <si>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</si>
  <si>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</si>
  <si>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</si>
  <si>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</si>
  <si>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</si>
  <si>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</si>
  <si>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</si>
  <si>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</si>
  <si>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</si>
  <si>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</si>
  <si>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</si>
  <si>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</si>
  <si>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</si>
  <si>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</si>
  <si>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</si>
  <si>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</si>
  <si>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</si>
  <si>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</si>
  <si>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</si>
  <si>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</si>
  <si>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</si>
  <si>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</si>
  <si>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</si>
  <si>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</si>
  <si>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</si>
  <si>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</si>
  <si>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</si>
  <si>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</si>
  <si>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</si>
  <si>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</si>
  <si>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</si>
  <si>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</si>
  <si>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</si>
  <si>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</si>
  <si>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</si>
  <si>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</si>
  <si>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</si>
  <si>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</si>
  <si>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</si>
  <si>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</si>
  <si>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</si>
  <si>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</si>
  <si>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</si>
  <si>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</si>
  <si>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</si>
  <si>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</si>
  <si>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</si>
  <si>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</si>
  <si>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</si>
  <si>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</si>
  <si>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</si>
  <si>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</si>
  <si>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</si>
  <si>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</si>
  <si>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</si>
  <si>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</si>
  <si>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</si>
  <si>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</si>
  <si>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</si>
  <si>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</si>
  <si>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</si>
  <si>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</si>
  <si>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</si>
  <si>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</si>
  <si>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</si>
  <si>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</si>
  <si>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</si>
  <si>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</si>
  <si>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</si>
  <si>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</si>
  <si>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</si>
  <si>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</si>
  <si>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</si>
  <si>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</si>
  <si>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</si>
  <si>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</si>
  <si>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</si>
  <si>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</si>
  <si>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</si>
  <si>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</si>
  <si>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</si>
  <si>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</si>
  <si>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</si>
  <si>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</si>
  <si>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</si>
  <si>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</si>
  <si>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</si>
  <si>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</si>
  <si>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</si>
  <si>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</si>
  <si>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</si>
  <si>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</si>
  <si>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</si>
  <si>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</si>
  <si>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</si>
  <si>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</si>
  <si>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</si>
  <si>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</si>
  <si>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</si>
  <si>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</si>
  <si>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</si>
  <si>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</si>
  <si>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</si>
  <si>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</si>
  <si>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</si>
  <si>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</si>
  <si>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</si>
  <si>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</si>
  <si>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</si>
  <si>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</si>
  <si>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</si>
  <si>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</si>
  <si>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</si>
  <si>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</si>
  <si>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</si>
  <si>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</si>
  <si>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</si>
  <si>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</si>
  <si>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</si>
  <si>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</si>
  <si>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</si>
  <si>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</si>
  <si>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</si>
  <si>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</si>
  <si>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</si>
  <si>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</si>
  <si>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</si>
  <si>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</si>
  <si>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</si>
  <si>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</si>
  <si>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</si>
  <si>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</si>
  <si>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</si>
  <si>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</si>
  <si>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</si>
  <si>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</si>
  <si>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</si>
  <si>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</si>
  <si>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</si>
  <si>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</si>
  <si>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</si>
  <si>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</si>
  <si>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</si>
  <si>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</si>
  <si>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</si>
  <si>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</si>
  <si>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</si>
  <si>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</si>
  <si>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</si>
  <si>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</si>
  <si>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</si>
  <si>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</si>
  <si>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</si>
  <si>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</si>
  <si>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</si>
  <si>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</si>
  <si>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</si>
  <si>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</si>
  <si>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</si>
  <si>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</si>
  <si>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</si>
  <si>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</si>
  <si>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</si>
  <si>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</si>
  <si>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</si>
  <si>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</si>
  <si>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</si>
  <si>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</si>
  <si>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</si>
  <si>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</si>
  <si>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</si>
  <si>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</si>
  <si>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</si>
  <si>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</si>
  <si>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</si>
  <si>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</si>
  <si>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</si>
  <si>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</si>
  <si>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</si>
  <si>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</si>
  <si>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</si>
  <si>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</si>
  <si>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</si>
  <si>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</si>
  <si>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</si>
  <si>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</si>
  <si>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</si>
  <si>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</si>
  <si>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</si>
  <si>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</si>
  <si>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</si>
  <si>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</si>
  <si>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</si>
  <si>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</si>
  <si>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</si>
  <si>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</si>
  <si>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</si>
  <si>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</si>
  <si>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</si>
  <si>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</si>
  <si>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</si>
  <si>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</si>
  <si>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</si>
  <si>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</si>
  <si>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</si>
  <si>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</si>
  <si>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</si>
  <si>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</si>
  <si>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</si>
  <si>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</si>
  <si>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</si>
  <si>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</si>
  <si>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</si>
  <si>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</si>
  <si>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</si>
  <si>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</si>
  <si>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</si>
  <si>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</si>
  <si>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</si>
  <si>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</si>
  <si>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</si>
  <si>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</si>
  <si>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</si>
  <si>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</si>
  <si>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</si>
  <si>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</si>
  <si>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</si>
  <si>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</si>
  <si>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</si>
  <si>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</si>
  <si>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</si>
  <si>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</si>
  <si>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</si>
  <si>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</si>
  <si>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</si>
  <si>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</si>
  <si>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</si>
  <si>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</si>
  <si>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</si>
  <si>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</si>
  <si>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</si>
  <si>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</si>
  <si>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</si>
  <si>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</si>
  <si>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</si>
  <si>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</si>
  <si>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</si>
  <si>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</si>
  <si>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</si>
  <si>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</si>
  <si>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</si>
  <si>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</si>
  <si>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</si>
  <si>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</si>
  <si>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</si>
  <si>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</si>
  <si>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</si>
  <si>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</si>
  <si>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</si>
  <si>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</si>
  <si>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</si>
  <si>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</si>
  <si>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</si>
  <si>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</si>
  <si>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</si>
  <si>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</si>
  <si>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</si>
  <si>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</si>
  <si>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</si>
  <si>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</si>
  <si>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</si>
  <si>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</si>
  <si>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</si>
  <si>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</si>
  <si>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</si>
  <si>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</si>
  <si>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</si>
  <si>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</si>
  <si>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</si>
  <si>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</si>
  <si>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</si>
  <si>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</si>
  <si>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</si>
  <si>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</si>
  <si>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</si>
  <si>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</si>
  <si>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</si>
  <si>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</si>
  <si>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</si>
  <si>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</si>
  <si>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</si>
  <si>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</si>
  <si>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</si>
  <si>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</si>
  <si>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</si>
  <si>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</si>
  <si>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</si>
  <si>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</si>
  <si>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</si>
  <si>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</si>
  <si>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</si>
  <si>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</si>
  <si>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</si>
  <si>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</si>
  <si>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</si>
  <si>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</si>
  <si>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</si>
  <si>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</si>
  <si>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</si>
  <si>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</si>
  <si>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</si>
  <si>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</si>
  <si>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</si>
  <si>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</si>
  <si>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</si>
  <si>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</si>
  <si>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</si>
  <si>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</si>
  <si>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</si>
  <si>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</si>
  <si>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</si>
  <si>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</si>
  <si>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</si>
  <si>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</si>
  <si>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</si>
  <si>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</si>
  <si>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</si>
  <si>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</si>
  <si>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</si>
  <si>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</si>
  <si>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</si>
  <si>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</si>
  <si>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</si>
  <si>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</si>
  <si>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</si>
  <si>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</si>
  <si>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</si>
  <si>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</si>
  <si>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</si>
  <si>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</si>
  <si>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</si>
  <si>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</si>
  <si>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</si>
  <si>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</si>
  <si>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</si>
  <si>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</si>
  <si>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</si>
  <si>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</si>
  <si>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</si>
  <si>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</si>
  <si>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</si>
  <si>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</si>
  <si>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</si>
  <si>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</si>
  <si>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</si>
  <si>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</si>
  <si>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</si>
  <si>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</si>
  <si>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</si>
  <si>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</si>
  <si>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</si>
  <si>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</si>
  <si>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</si>
  <si>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</si>
  <si>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</si>
  <si>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</si>
  <si>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</si>
  <si>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</si>
  <si>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</si>
  <si>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</si>
  <si>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</si>
  <si>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</si>
  <si>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</si>
  <si>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</si>
  <si>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</si>
  <si>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</si>
  <si>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</si>
  <si>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</si>
  <si>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</si>
  <si>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</si>
  <si>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</si>
  <si>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</si>
  <si>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</si>
  <si>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</si>
  <si>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</si>
  <si>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</si>
  <si>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</si>
  <si>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</si>
  <si>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</si>
  <si>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</si>
  <si>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</si>
  <si>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</si>
  <si>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</si>
  <si>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</si>
  <si>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</si>
  <si>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</si>
  <si>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</si>
  <si>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</si>
  <si>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</si>
  <si>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</si>
  <si>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</si>
  <si>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</si>
  <si>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</si>
  <si>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</si>
  <si>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</si>
  <si>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</si>
  <si>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</si>
  <si>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</si>
  <si>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</si>
  <si>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</si>
  <si>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</si>
  <si>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</si>
  <si>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</si>
  <si>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</si>
  <si>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</si>
  <si>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</si>
  <si>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</si>
  <si>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</si>
  <si>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</si>
  <si>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</si>
  <si>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</si>
  <si>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</si>
  <si>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</si>
  <si>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</si>
  <si>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</si>
  <si>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</si>
  <si>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</si>
  <si>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</si>
  <si>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</si>
  <si>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</si>
  <si>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</si>
  <si>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</si>
  <si>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</si>
  <si>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</si>
  <si>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</si>
  <si>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</si>
  <si>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</si>
  <si>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</si>
  <si>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</si>
  <si>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</si>
  <si>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</si>
  <si>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</si>
  <si>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</si>
  <si>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</si>
  <si>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</si>
  <si>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</si>
  <si>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</si>
  <si>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</si>
  <si>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</si>
  <si>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</si>
  <si>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</si>
  <si>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</si>
  <si>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</si>
  <si>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</si>
  <si>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</si>
  <si>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</si>
  <si>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</si>
  <si>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</si>
  <si>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</si>
  <si>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</si>
  <si>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</si>
  <si>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</si>
  <si>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</si>
  <si>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</si>
  <si>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</si>
  <si>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</si>
  <si>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</si>
  <si>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</si>
  <si>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</si>
  <si>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</si>
  <si>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</si>
  <si>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</si>
  <si>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</si>
  <si>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</si>
  <si>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</si>
  <si>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</si>
  <si>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</si>
  <si>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</si>
  <si>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</si>
  <si>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</si>
  <si>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</si>
  <si>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</si>
  <si>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</si>
  <si>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</si>
  <si>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</si>
  <si>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</si>
  <si>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</si>
  <si>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</si>
  <si>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</si>
  <si>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</si>
  <si>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</si>
  <si>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</si>
  <si>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</si>
  <si>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</si>
  <si>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</si>
  <si>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</si>
  <si>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</si>
  <si>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</si>
  <si>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</si>
  <si>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</si>
  <si>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</si>
  <si>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</si>
  <si>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</si>
  <si>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</si>
  <si>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</si>
  <si>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</si>
  <si>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</si>
  <si>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</si>
  <si>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</si>
  <si>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</si>
  <si>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</si>
  <si>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</si>
  <si>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</si>
  <si>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</si>
  <si>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</si>
  <si>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</si>
  <si>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</si>
  <si>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</si>
  <si>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</si>
  <si>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</si>
  <si>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</si>
  <si>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</si>
  <si>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</si>
  <si>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</si>
  <si>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</si>
  <si>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</si>
  <si>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</si>
  <si>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</si>
  <si>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</si>
  <si>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</si>
  <si>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</si>
  <si>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</si>
  <si>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</si>
  <si>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</si>
  <si>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</si>
  <si>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</si>
  <si>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</si>
  <si>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</si>
  <si>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</si>
  <si>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</si>
  <si>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</si>
  <si>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</si>
  <si>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</si>
  <si>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</si>
  <si>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</si>
  <si>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</si>
  <si>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</si>
  <si>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</si>
  <si>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</si>
  <si>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</si>
  <si>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</si>
  <si>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</si>
  <si>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</si>
  <si>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</si>
  <si>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</si>
  <si>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</si>
  <si>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</si>
  <si>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</si>
  <si>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</si>
  <si>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</si>
  <si>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</si>
  <si>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</si>
  <si>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</si>
  <si>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</si>
  <si>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</si>
  <si>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</si>
  <si>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</si>
  <si>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</si>
  <si>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</si>
  <si>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</si>
  <si>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</si>
  <si>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</si>
  <si>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</si>
  <si>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</si>
  <si>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</si>
  <si>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</si>
  <si>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</si>
  <si>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</si>
  <si>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</si>
  <si>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</si>
  <si>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</si>
  <si>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</si>
  <si>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</si>
  <si>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</si>
  <si>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</si>
  <si>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</si>
  <si>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</si>
  <si>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</si>
  <si>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</si>
  <si>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</si>
  <si>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</si>
  <si>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</si>
  <si>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</si>
  <si>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</si>
  <si>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</si>
  <si>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</si>
  <si>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</si>
  <si>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</si>
  <si>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</si>
  <si>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</si>
  <si>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</si>
  <si>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</si>
  <si>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</si>
  <si>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</si>
  <si>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</si>
  <si>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</si>
  <si>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</si>
  <si>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</si>
  <si>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</si>
  <si>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</si>
  <si>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</si>
  <si>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</si>
  <si>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</si>
  <si>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</si>
  <si>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</si>
  <si>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</si>
  <si>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</si>
  <si>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</si>
  <si>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</si>
  <si>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</si>
  <si>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</si>
  <si>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</si>
  <si>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</si>
  <si>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</si>
  <si>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</si>
  <si>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</si>
  <si>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</si>
  <si>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</si>
  <si>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</si>
  <si>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</si>
  <si>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</si>
  <si>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</si>
  <si>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</si>
  <si>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</si>
  <si>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</si>
  <si>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</si>
  <si>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</si>
  <si>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</si>
  <si>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</si>
  <si>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</si>
  <si>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</si>
  <si>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</si>
  <si>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</si>
  <si>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</si>
  <si>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</si>
  <si>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</si>
  <si>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</si>
  <si>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</si>
  <si>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</si>
  <si>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</si>
  <si>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</si>
  <si>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</si>
  <si>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</si>
  <si>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</si>
  <si>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</si>
  <si>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</si>
  <si>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</si>
  <si>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</si>
  <si>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</si>
  <si>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</si>
  <si>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</si>
  <si>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</si>
  <si>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</si>
  <si>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</si>
  <si>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</si>
  <si>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</si>
  <si>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</si>
  <si>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</si>
  <si>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</si>
  <si>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</si>
  <si>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</si>
  <si>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</si>
  <si>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</si>
  <si>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</si>
  <si>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</si>
  <si>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</si>
  <si>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</si>
  <si>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</si>
  <si>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</si>
  <si>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</si>
  <si>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</si>
  <si>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</si>
  <si>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</si>
  <si>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</si>
  <si>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</si>
  <si>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</si>
  <si>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</si>
  <si>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</si>
  <si>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</si>
  <si>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</si>
  <si>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</si>
  <si>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</si>
  <si>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</si>
  <si>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</si>
  <si>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</si>
  <si>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</si>
  <si>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</si>
  <si>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</si>
  <si>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</si>
  <si>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</si>
  <si>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</si>
  <si>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</si>
  <si>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</si>
  <si>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</si>
  <si>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</si>
  <si>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</si>
  <si>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</si>
  <si>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</si>
  <si>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</si>
  <si>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</si>
  <si>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</si>
  <si>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</si>
  <si>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</si>
  <si>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</si>
  <si>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</si>
  <si>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</si>
  <si>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</si>
  <si>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</si>
  <si>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</si>
  <si>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</si>
  <si>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</si>
  <si>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</si>
  <si>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</si>
  <si>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</si>
  <si>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</si>
  <si>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</si>
  <si>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</si>
  <si>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</si>
  <si>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</si>
  <si>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</si>
  <si>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</si>
  <si>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</si>
  <si>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</si>
  <si>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</si>
  <si>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</si>
  <si>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</si>
  <si>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</si>
  <si>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</si>
  <si>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</si>
  <si>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</si>
  <si>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</si>
  <si>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</si>
  <si>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</si>
  <si>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</si>
  <si>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</si>
  <si>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</si>
  <si>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</si>
  <si>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</si>
  <si>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</si>
  <si>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</si>
  <si>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</si>
  <si>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</si>
  <si>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</si>
  <si>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</si>
  <si>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</si>
  <si>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</si>
  <si>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</si>
  <si>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</si>
  <si>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</si>
  <si>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</si>
  <si>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</si>
  <si>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</si>
  <si>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</si>
  <si>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</si>
  <si>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</si>
  <si>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</si>
  <si>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</si>
  <si>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</si>
  <si>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</si>
  <si>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</si>
  <si>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</si>
  <si>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</si>
  <si>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</si>
  <si>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</si>
  <si>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</si>
  <si>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</si>
  <si>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</si>
  <si>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</si>
  <si>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</si>
  <si>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</si>
  <si>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</si>
  <si>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</si>
  <si>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</si>
  <si>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</si>
  <si>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</si>
  <si>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</si>
  <si>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</si>
  <si>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</si>
  <si>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</si>
  <si>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</si>
  <si>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</si>
  <si>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</si>
  <si>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</si>
  <si>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</si>
  <si>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</si>
  <si>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</si>
  <si>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</si>
  <si>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</si>
  <si>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</si>
  <si>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</si>
  <si>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</si>
  <si>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</si>
  <si>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</si>
  <si>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</si>
  <si>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</si>
  <si>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</si>
  <si>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</si>
  <si>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</si>
  <si>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</si>
  <si>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</si>
  <si>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</si>
  <si>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</si>
  <si>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</si>
  <si>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</si>
  <si>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</si>
  <si>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</si>
  <si>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</si>
  <si>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</si>
  <si>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</si>
  <si>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</si>
  <si>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</si>
  <si>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</si>
  <si>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</si>
  <si>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</si>
  <si>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</si>
  <si>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</si>
  <si>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</si>
  <si>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</si>
  <si>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</si>
  <si>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</si>
  <si>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</si>
  <si>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</si>
  <si>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</si>
  <si>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</si>
  <si>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</si>
  <si>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</si>
  <si>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</si>
  <si>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</si>
  <si>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</si>
  <si>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</si>
  <si>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</si>
  <si>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</si>
  <si>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</si>
  <si>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</si>
  <si>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</si>
  <si>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</si>
  <si>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</si>
  <si>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</si>
  <si>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</si>
  <si>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</si>
  <si>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</si>
  <si>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</si>
  <si>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</si>
  <si>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</si>
  <si>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</si>
  <si>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</si>
  <si>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</si>
  <si>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</si>
  <si>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</si>
  <si>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</si>
  <si>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</si>
  <si>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</si>
  <si>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</si>
  <si>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</si>
  <si>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</si>
  <si>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</si>
  <si>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</si>
  <si>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</si>
  <si>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</si>
  <si>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</si>
  <si>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</si>
  <si>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</si>
  <si>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</si>
  <si>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</si>
  <si>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</si>
  <si>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</si>
  <si>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</si>
  <si>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</si>
  <si>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</si>
  <si>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</si>
  <si>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</si>
  <si>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</si>
  <si>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</si>
  <si>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</si>
  <si>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</si>
  <si>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</si>
  <si>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</si>
  <si>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</si>
  <si>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</si>
  <si>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</si>
  <si>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</si>
  <si>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</si>
  <si>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</si>
  <si>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</si>
  <si>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</si>
  <si>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</si>
  <si>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</si>
  <si>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</si>
  <si>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</si>
  <si>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</si>
  <si>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</si>
  <si>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</si>
  <si>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</si>
  <si>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</si>
  <si>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</si>
  <si>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</si>
  <si>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</si>
  <si>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</si>
  <si>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</si>
  <si>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</si>
  <si>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</si>
  <si>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</si>
  <si>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</si>
  <si>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</si>
  <si>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</si>
  <si>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</si>
  <si>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</si>
  <si>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</si>
  <si>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</si>
  <si>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</si>
  <si>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</si>
  <si>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</si>
  <si>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</si>
  <si>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</si>
  <si>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</si>
  <si>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</si>
  <si>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</si>
  <si>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</si>
  <si>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</si>
  <si>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</si>
  <si>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</si>
  <si>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</si>
  <si>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</si>
  <si>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</si>
  <si>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</si>
  <si>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</si>
  <si>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</si>
  <si>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</si>
  <si>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</si>
  <si>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</si>
  <si>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</si>
  <si>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</si>
  <si>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</si>
  <si>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</si>
  <si>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</si>
  <si>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</si>
  <si>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</si>
  <si>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</si>
  <si>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</si>
  <si>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</si>
  <si>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</si>
  <si>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</si>
  <si>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</si>
  <si>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</si>
  <si>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</si>
  <si>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</si>
  <si>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</si>
  <si>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</si>
  <si>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</si>
  <si>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</si>
  <si>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</si>
  <si>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</si>
  <si>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</si>
  <si>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</si>
  <si>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</si>
  <si>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</si>
  <si>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</si>
  <si>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</si>
  <si>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</si>
  <si>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</si>
  <si>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</si>
  <si>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</si>
  <si>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</si>
  <si>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</si>
  <si>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</si>
  <si>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</si>
  <si>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</si>
  <si>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</si>
  <si>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</si>
  <si>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</si>
  <si>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</si>
  <si>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</si>
  <si>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</si>
  <si>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</si>
  <si>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</si>
  <si>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</si>
  <si>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</si>
  <si>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</si>
  <si>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</si>
  <si>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</si>
  <si>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</si>
  <si>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</si>
  <si>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</si>
  <si>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</si>
  <si>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</si>
  <si>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</si>
  <si>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</si>
  <si>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</si>
  <si>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</si>
  <si>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</si>
  <si>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</si>
  <si>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</si>
  <si>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</si>
  <si>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</si>
  <si>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</si>
  <si>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</si>
  <si>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</si>
  <si>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</si>
  <si>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</si>
  <si>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</si>
  <si>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</si>
  <si>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</si>
  <si>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</si>
  <si>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</si>
  <si>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</si>
  <si>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</si>
  <si>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</si>
  <si>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</si>
  <si>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</si>
  <si>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</si>
  <si>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</si>
  <si>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</si>
  <si>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</si>
  <si>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</si>
  <si>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</si>
  <si>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</si>
  <si>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</si>
  <si>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</si>
  <si>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</si>
  <si>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</si>
  <si>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</si>
  <si>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</si>
  <si>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</si>
  <si>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</si>
  <si>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</si>
  <si>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</si>
  <si>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</si>
  <si>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</si>
  <si>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</si>
  <si>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</si>
  <si>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</si>
  <si>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</si>
  <si>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</si>
  <si>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</si>
  <si>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</si>
  <si>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</si>
  <si>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</si>
  <si>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</si>
  <si>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</si>
  <si>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</si>
  <si>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</si>
  <si>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</si>
  <si>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</si>
  <si>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</si>
  <si>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</si>
  <si>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</si>
  <si>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</si>
  <si>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</si>
  <si>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</si>
  <si>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</si>
  <si>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</si>
  <si>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</si>
  <si>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</si>
  <si>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</si>
  <si>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</si>
  <si>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</si>
  <si>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</si>
  <si>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</si>
  <si>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</si>
  <si>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</si>
  <si>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</si>
  <si>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</si>
  <si>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</si>
  <si>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</si>
  <si>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</si>
  <si>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</si>
  <si>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</si>
  <si>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</si>
  <si>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</si>
  <si>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</si>
  <si>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</si>
  <si>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</si>
  <si>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</si>
  <si>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</si>
  <si>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</si>
  <si>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</si>
  <si>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</si>
  <si>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</si>
  <si>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</si>
  <si>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</si>
  <si>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</si>
  <si>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</si>
  <si>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</si>
  <si>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</si>
  <si>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</si>
  <si>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</si>
  <si>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</si>
  <si>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</si>
  <si>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</si>
  <si>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</si>
  <si>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</si>
  <si>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</si>
  <si>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</si>
  <si>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</si>
  <si>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</si>
  <si>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</si>
  <si>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</si>
  <si>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</si>
  <si>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</si>
  <si>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</si>
  <si>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</si>
  <si>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</si>
  <si>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</si>
  <si>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</si>
  <si>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</si>
  <si>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</si>
  <si>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</si>
  <si>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</si>
  <si>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</si>
  <si>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</si>
  <si>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</si>
  <si>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</si>
  <si>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</si>
  <si>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</si>
  <si>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</si>
  <si>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</si>
  <si>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</si>
  <si>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</si>
  <si>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</si>
  <si>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</si>
  <si>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</si>
  <si>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</si>
  <si>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</si>
  <si>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</si>
  <si>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</si>
  <si>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</si>
  <si>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</si>
  <si>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</si>
  <si>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</si>
  <si>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</si>
  <si>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</si>
  <si>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</si>
  <si>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</si>
  <si>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</si>
  <si>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</si>
  <si>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</si>
  <si>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</si>
  <si>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</si>
  <si>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</si>
  <si>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</si>
  <si>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</si>
  <si>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</si>
  <si>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</si>
  <si>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</si>
  <si>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</si>
  <si>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</si>
  <si>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</si>
  <si>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</si>
  <si>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</si>
  <si>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</si>
  <si>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</si>
  <si>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</si>
  <si>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</si>
  <si>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</si>
  <si>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</si>
  <si>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</si>
  <si>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</si>
  <si>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</si>
  <si>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</si>
  <si>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</si>
  <si>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</si>
  <si>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</si>
  <si>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</si>
  <si>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</si>
  <si>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</si>
  <si>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</si>
  <si>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</si>
  <si>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</si>
  <si>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</si>
  <si>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</si>
  <si>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</si>
  <si>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</si>
  <si>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</si>
  <si>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</si>
  <si>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</si>
  <si>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</si>
  <si>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</si>
  <si>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</si>
  <si>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</si>
  <si>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</si>
  <si>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</si>
  <si>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</si>
  <si>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</si>
  <si>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</si>
  <si>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</si>
  <si>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</si>
  <si>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</si>
  <si>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</si>
  <si>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</si>
  <si>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</si>
  <si>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</si>
  <si>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</si>
  <si>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</si>
  <si>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</si>
  <si>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</si>
  <si>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</si>
  <si>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</si>
  <si>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</si>
  <si>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</si>
  <si>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</si>
  <si>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</si>
  <si>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</si>
  <si>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</si>
  <si>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</si>
  <si>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</si>
  <si>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</si>
  <si>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</si>
  <si>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</si>
  <si>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</si>
  <si>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</si>
  <si>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</si>
  <si>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</si>
  <si>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</si>
  <si>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</si>
  <si>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</si>
  <si>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</si>
  <si>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</si>
  <si>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</si>
  <si>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</si>
  <si>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</si>
  <si>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</si>
  <si>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</si>
  <si>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</si>
  <si>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</si>
  <si>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</si>
  <si>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</si>
  <si>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</si>
  <si>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</si>
  <si>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</si>
  <si>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</si>
  <si>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</si>
  <si>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</si>
  <si>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</si>
  <si>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</si>
  <si>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</si>
  <si>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</si>
  <si>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</si>
  <si>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</si>
  <si>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</si>
  <si>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</si>
  <si>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</si>
  <si>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</si>
  <si>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</si>
  <si>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</si>
  <si>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</si>
  <si>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</si>
  <si>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</si>
  <si>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</si>
  <si>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</si>
  <si>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</si>
  <si>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</si>
  <si>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</si>
  <si>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</si>
  <si>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</si>
  <si>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</si>
  <si>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</si>
  <si>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</si>
  <si>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</si>
  <si>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</si>
  <si>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</si>
  <si>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</si>
  <si>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</si>
  <si>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</si>
  <si>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</si>
  <si>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</si>
  <si>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</si>
  <si>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</si>
  <si>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</si>
  <si>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</si>
  <si>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</si>
  <si>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</si>
  <si>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</si>
  <si>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</si>
  <si>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</si>
  <si>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</si>
  <si>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</si>
  <si>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</si>
  <si>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</si>
  <si>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</si>
  <si>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</si>
  <si>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</si>
  <si>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</si>
  <si>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</si>
  <si>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</si>
  <si>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</si>
  <si>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</si>
  <si>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</si>
  <si>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</si>
  <si>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</si>
  <si>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</si>
  <si>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</si>
  <si>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</si>
  <si>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</si>
  <si>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</si>
  <si>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</si>
  <si>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</si>
  <si>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</si>
  <si>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</si>
  <si>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</si>
  <si>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</si>
  <si>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</si>
  <si>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</si>
  <si>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</si>
  <si>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</si>
  <si>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</si>
  <si>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</si>
  <si>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</si>
  <si>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</si>
  <si>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</si>
  <si>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</si>
  <si>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</si>
  <si>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</si>
  <si>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</si>
  <si>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</si>
  <si>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</si>
  <si>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</si>
  <si>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</si>
  <si>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</si>
  <si>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</si>
  <si>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</si>
  <si>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</si>
  <si>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</si>
  <si>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</si>
  <si>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</si>
  <si>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</si>
  <si>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</si>
  <si>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</si>
  <si>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</si>
  <si>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</si>
  <si>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</si>
  <si>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</si>
  <si>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</si>
  <si>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</si>
  <si>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</si>
  <si>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</si>
  <si>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</si>
  <si>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</si>
  <si>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</si>
  <si>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</si>
  <si>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</si>
  <si>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</si>
  <si>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</si>
  <si>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</si>
  <si>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</si>
  <si>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</si>
  <si>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</si>
  <si>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</si>
  <si>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</si>
  <si>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</si>
  <si>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</si>
  <si>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</si>
  <si>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</si>
  <si>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</si>
  <si>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</si>
  <si>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</si>
  <si>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</si>
  <si>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</si>
  <si>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</si>
  <si>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</si>
  <si>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</si>
  <si>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</si>
  <si>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</si>
  <si>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</si>
  <si>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</si>
  <si>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</si>
  <si>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</si>
  <si>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</si>
  <si>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</si>
  <si>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</si>
  <si>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</si>
  <si>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</si>
  <si>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</si>
  <si>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</si>
  <si>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</si>
  <si>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</si>
  <si>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</si>
  <si>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</si>
  <si>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</si>
  <si>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</si>
  <si>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</si>
  <si>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</si>
  <si>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</si>
  <si>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</si>
  <si>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</si>
  <si>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</si>
  <si>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</si>
  <si>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</si>
  <si>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</si>
  <si>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</si>
  <si>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</si>
  <si>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</si>
  <si>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</si>
  <si>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</si>
  <si>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</si>
  <si>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</si>
  <si>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</si>
  <si>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</si>
  <si>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</si>
  <si>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</si>
  <si>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</si>
  <si>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</si>
  <si>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</si>
  <si>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</si>
  <si>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</si>
  <si>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</si>
  <si>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</si>
  <si>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</si>
  <si>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</si>
  <si>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</si>
  <si>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</si>
  <si>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</si>
  <si>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</si>
  <si>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</si>
  <si>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</si>
  <si>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</si>
  <si>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</si>
  <si>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</si>
  <si>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</si>
  <si>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</si>
  <si>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</si>
  <si>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</si>
  <si>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</si>
  <si>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</si>
  <si>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</si>
  <si>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</si>
  <si>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</si>
  <si>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</si>
  <si>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</si>
  <si>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</si>
  <si>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</si>
  <si>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</si>
  <si>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</si>
  <si>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</si>
  <si>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</si>
  <si>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</si>
  <si>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</si>
  <si>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</si>
  <si>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</si>
  <si>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</si>
  <si>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</si>
  <si>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</si>
  <si>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</si>
  <si>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</si>
  <si>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</si>
  <si>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</si>
  <si>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</si>
  <si>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</si>
  <si>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</si>
  <si>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</si>
  <si>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</si>
  <si>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</si>
  <si>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</si>
  <si>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</si>
  <si>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</si>
  <si>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</si>
  <si>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</si>
  <si>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</si>
  <si>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</si>
  <si>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</si>
  <si>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</si>
  <si>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</si>
  <si>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</si>
  <si>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</si>
  <si>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</si>
  <si>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</si>
  <si>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</si>
  <si>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</si>
  <si>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</si>
  <si>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</si>
  <si>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</si>
  <si>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</si>
  <si>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</si>
  <si>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</si>
  <si>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</si>
  <si>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</si>
  <si>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</si>
  <si>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</si>
  <si>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</si>
  <si>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</si>
  <si>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</si>
  <si>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</si>
  <si>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</si>
  <si>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</si>
  <si>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</si>
  <si>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</si>
  <si>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</si>
  <si>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</si>
  <si>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</si>
  <si>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</si>
  <si>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</si>
  <si>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</si>
  <si>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</si>
  <si>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</si>
  <si>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</si>
  <si>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</si>
  <si>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</si>
  <si>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</si>
  <si>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</si>
  <si>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QuickCable Corporation (508-0000042029)</t>
  </si>
  <si>
    <t>7384</t>
  </si>
  <si>
    <t>iPoint Conflict Mineral Platform</t>
  </si>
  <si>
    <t>3700 Quick Drive, Franksville Wisconsin 53126-0509, United States of America</t>
  </si>
  <si>
    <t>Esther Keza</t>
  </si>
  <si>
    <t>ekeza@quickcable.com</t>
  </si>
  <si>
    <t>(262) 504-2435</t>
  </si>
  <si>
    <t>Quality Specialist</t>
  </si>
  <si>
    <t>tin plating on various parts</t>
  </si>
  <si>
    <t>CID001105, CID001898</t>
  </si>
  <si>
    <t>100%</t>
  </si>
  <si>
    <t>https://www.quickcable.com/resources/conflict-materials-reporting-download/</t>
  </si>
  <si>
    <t>CID001105</t>
  </si>
  <si>
    <t>Malaysia Smelting Corporation (MSC)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</si>
</sst>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keza@quick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quickcable.com/resources/conflict-materials-reporting-download/" TargetMode="External"/><Relationship Id="rId4" Type="http://schemas.openxmlformats.org/officeDocument/2006/relationships/hyperlink" Target="mailto:ekeza@quick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48C3DD6-8F97-44B2-A37C-40E502E45C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55A94FA-380D-442D-BCB2-DF70B87B839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9"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46171</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t="s">
        <v>15887</v>
      </c>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t="s">
        <v>15888</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9" t="s">
        <v>15889</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
      </c>
    </row>
    <row r="101" spans="2:7" ht="15" hidden="1">
      <c r="B101" s="219" t="s">
        <v>2371</v>
      </c>
      <c r="D101" s="264" t="str">
        <f>IF(AND(OR($D$27="Yes",$D$27=""),OR($D$33="Yes",$D$33="")),"Unknown","")</f>
        <v>Unknown</v>
      </c>
      <c r="E101" s="264" t="str">
        <f>IF(AND(OR($D$26="Yes",$D$26=""),OR($D$32="Yes",$D$32="")),"None","")</f>
        <v/>
      </c>
      <c r="G101" s="264" t="str">
        <f>IF(OR($D$28="Yes",$D$28=""),"No","")</f>
        <v/>
      </c>
    </row>
    <row r="102" spans="2:7" ht="15" hidden="1">
      <c r="B102" s="219" t="s">
        <v>2372</v>
      </c>
      <c r="D102" s="264" t="str">
        <f>IF(AND(OR($D$28="Yes",$D$28=""),OR($D$34="Yes",$D$34="")),"Yes","")</f>
        <v/>
      </c>
      <c r="E102" s="264" t="str">
        <f>IF(AND(OR($D$27="Yes",$D$27=""),OR($D$33="Yes",$D$33="")),"100%","")</f>
        <v>100%</v>
      </c>
      <c r="G102" s="264" t="str">
        <f>IF(OR($D$29="Yes",$D$29=""),"Yes","")</f>
        <v/>
      </c>
    </row>
    <row r="103" spans="2:7" ht="15" hidden="1">
      <c r="B103" s="219" t="s">
        <v>2373</v>
      </c>
      <c r="D103" s="264" t="str">
        <f>IF(AND(OR($D$28="Yes",$D$28=""),OR($D$34="Yes",$D$34="")),"No","")</f>
        <v/>
      </c>
      <c r="E103" s="264" t="str">
        <f>IF(AND(OR($D$27="Yes",$D$27=""),OR($D$33="Yes",$D$33="")),"Greater than 90%","")</f>
        <v>Greater than 90%</v>
      </c>
      <c r="G103" s="264" t="str">
        <f>IF(OR($D$29="Yes",$D$29=""),"No","")</f>
        <v/>
      </c>
    </row>
    <row r="104" spans="2:7" ht="15" hidden="1">
      <c r="B104" s="219" t="s">
        <v>476</v>
      </c>
      <c r="D104" s="264" t="str">
        <f>IF(AND(OR($D$28="Yes",$D$28=""),OR($D$34="Yes",$D$34="")),"Unknown","")</f>
        <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
      </c>
    </row>
    <row r="109" spans="2:7" ht="15" hidden="1">
      <c r="B109" s="219" t="s">
        <v>13456</v>
      </c>
      <c r="E109" s="264" t="str">
        <f>IF(AND(OR($D$28="Yes",$D$28=""),OR($D$34="Yes",$D$34="")),"Greater than 90%","")</f>
        <v/>
      </c>
    </row>
    <row r="110" spans="2:7" ht="15" hidden="1">
      <c r="B110" s="219" t="s">
        <v>13457</v>
      </c>
      <c r="E110" s="264" t="str">
        <f>IF(AND(OR($D$28="Yes",$D$28=""),OR($D$34="Yes",$D$34="")),"Greater than 75%","")</f>
        <v/>
      </c>
    </row>
    <row r="111" spans="2:7" ht="1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33E620E-A7BE-432D-84E4-F2E2877CD309}"/>
    <hyperlink ref="D20" r:id="rId4" xr:uid="{DC10EF24-2793-4A36-90DB-BEA71B35CD8E}"/>
    <hyperlink ref="G77" r:id="rId5" xr:uid="{9CDC0443-28EF-46C6-9615-8C7DCC22E25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E13" sqref="E13"/>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744</v>
      </c>
      <c r="B5" s="166" t="s">
        <v>1088</v>
      </c>
      <c r="C5" s="170" t="s">
        <v>992</v>
      </c>
      <c r="D5" s="213"/>
      <c r="E5" s="166" t="s">
        <v>840</v>
      </c>
      <c r="F5" s="166" t="s">
        <v>744</v>
      </c>
      <c r="G5" s="166" t="s">
        <v>12764</v>
      </c>
      <c r="H5" s="167">
        <f ca="1">IF(ISERROR($V5),"",OFFSET('Smelter Look-up'!$G$4,$V5-4,0))</f>
        <v>0</v>
      </c>
      <c r="I5" s="168" t="str">
        <f ca="1">IF(ISERROR($V5),"",OFFSET('Smelter Look-up'!$H$4,$V5-4,0))</f>
        <v>Paracas</v>
      </c>
      <c r="J5" s="168" t="str">
        <f ca="1">IF(ISERROR($V5),"",OFFSET('Smelter Look-up'!$I$4,$V5-4,0))</f>
        <v>Ika</v>
      </c>
      <c r="K5" s="207"/>
      <c r="L5" s="207"/>
      <c r="M5" s="207"/>
      <c r="N5" s="207"/>
      <c r="O5" s="207"/>
      <c r="P5" s="169"/>
      <c r="Q5" s="208"/>
      <c r="R5" s="166" t="str">
        <f ca="1">IF(ISERROR($V5),"",OFFSET('Smelter Look-up'!$C$4,$V5-4,0)&amp;"")</f>
        <v>Minsur</v>
      </c>
      <c r="S5" s="165" t="str">
        <f ca="1">IF(B5="","",IF(ISERROR(MATCH($E5,CL,0)),"Unknown",INDIRECT("'C'!$A$"&amp;MATCH($E5,CL,0)+1)))</f>
        <v>PE</v>
      </c>
      <c r="T5" s="165" t="str">
        <f ca="1">IF(B5="","",IF(ISERROR(MATCH($J5,SorP!$B$1:$B$6261,0)),"",INDIRECT("'SorP'!$A$"&amp;MATCH($S5&amp;$J5,SorP!C:C,0))))</f>
        <v>PE-ICA</v>
      </c>
      <c r="U5" s="185"/>
      <c r="V5" s="209">
        <f>IF(C5="",NA(),IF(OR(C5="Smelter not listed",C5="Smelter not yet identified"),MATCH($B5&amp;$D5,'Smelter Look-up'!$J:$J,0),MATCH($B5&amp;$C5,'Smelter Look-up'!$J:$J,0)))</f>
        <v>503</v>
      </c>
      <c r="X5" s="210">
        <f t="shared" ref="X5" si="0">IF(AND(C5="Smelter not listed",OR(LEN(D5)=0,LEN(E5)=0)),1,0)</f>
        <v>0</v>
      </c>
      <c r="AB5" s="211" t="str">
        <f t="shared" ref="AB5" si="1">B5&amp;C5</f>
        <v>TinMinsur</v>
      </c>
    </row>
    <row r="6" spans="1:34" s="210" customFormat="1" ht="20.100000000000001" customHeight="1">
      <c r="A6" s="245" t="s">
        <v>743</v>
      </c>
      <c r="B6" s="166" t="s">
        <v>1088</v>
      </c>
      <c r="C6" s="170" t="s">
        <v>11981</v>
      </c>
      <c r="D6" s="213"/>
      <c r="E6" s="166" t="s">
        <v>1054</v>
      </c>
      <c r="F6" s="166" t="s">
        <v>743</v>
      </c>
      <c r="G6" s="166" t="s">
        <v>12764</v>
      </c>
      <c r="H6" s="167">
        <f ca="1">IF(ISERROR($V6),"",OFFSET('Smelter Look-up'!$G$4,$V6-4,0))</f>
        <v>0</v>
      </c>
      <c r="I6" s="168" t="str">
        <f ca="1">IF(ISERROR($V6),"",OFFSET('Smelter Look-up'!$H$4,$V6-4,0))</f>
        <v>Pirapora de Bom Jesus</v>
      </c>
      <c r="J6" s="168" t="str">
        <f ca="1">IF(ISERROR($V6),"",OFFSET('Smelter Look-up'!$I$4,$V6-4,0))</f>
        <v>São Paulo</v>
      </c>
      <c r="K6" s="207"/>
      <c r="L6" s="207"/>
      <c r="M6" s="207"/>
      <c r="N6" s="207"/>
      <c r="O6" s="207"/>
      <c r="P6" s="169"/>
      <c r="Q6" s="208"/>
      <c r="R6" s="166" t="str">
        <f ca="1">IF(ISERROR($V6),"",OFFSET('Smelter Look-up'!$C$4,$V6-4,0)&amp;"")</f>
        <v>Mineracao Taboca S.A.</v>
      </c>
      <c r="S6" s="165" t="str">
        <f t="shared" ref="S6:S37" ca="1" si="2">IF(B6="","",IF(ISERROR(MATCH($E6,CL,0)),"Unknown",INDIRECT("'C'!$A$"&amp;MATCH($E6,CL,0)+1)))</f>
        <v>BR</v>
      </c>
      <c r="T6" s="165" t="str">
        <f ca="1">IF(B6="","",IF(ISERROR(MATCH($J6,SorP!$B$1:$B$6261,0)),"",INDIRECT("'SorP'!$A$"&amp;MATCH($S6&amp;$J6,SorP!C:C,0))))</f>
        <v>BR-SP</v>
      </c>
      <c r="U6" s="185"/>
      <c r="V6" s="209">
        <f>IF(C6="",NA(),IF(OR(C6="Smelter not listed",C6="Smelter not yet identified"),MATCH($B6&amp;$D6,'Smelter Look-up'!$J:$J,0),MATCH($B6&amp;$C6,'Smelter Look-up'!$J:$J,0)))</f>
        <v>498</v>
      </c>
      <c r="X6" s="210">
        <f t="shared" ref="X6:X37" si="3">IF(AND(C6="Smelter not listed",OR(LEN(D6)=0,LEN(E6)=0)),1,0)</f>
        <v>0</v>
      </c>
      <c r="AB6" s="211" t="str">
        <f t="shared" ref="AB6:AB37" si="4">B6&amp;C6</f>
        <v>TinMineracao Taboca S.A.</v>
      </c>
    </row>
    <row r="7" spans="1:34" s="210" customFormat="1" ht="20.100000000000001" customHeight="1">
      <c r="A7" s="245" t="s">
        <v>736</v>
      </c>
      <c r="B7" s="166" t="s">
        <v>1088</v>
      </c>
      <c r="C7" s="170" t="s">
        <v>803</v>
      </c>
      <c r="D7" s="213"/>
      <c r="E7" s="166" t="s">
        <v>2321</v>
      </c>
      <c r="F7" s="166" t="s">
        <v>736</v>
      </c>
      <c r="G7" s="166" t="s">
        <v>12764</v>
      </c>
      <c r="H7" s="167">
        <f ca="1">IF(ISERROR($V7),"",OFFSET('Smelter Look-up'!$G$4,$V7-4,0))</f>
        <v>0</v>
      </c>
      <c r="I7" s="168" t="str">
        <f ca="1">IF(ISERROR($V7),"",OFFSET('Smelter Look-up'!$H$4,$V7-4,0))</f>
        <v>Oruro</v>
      </c>
      <c r="J7" s="168" t="str">
        <f ca="1">IF(ISERROR($V7),"",OFFSET('Smelter Look-up'!$I$4,$V7-4,0))</f>
        <v>Oruro</v>
      </c>
      <c r="K7" s="207"/>
      <c r="L7" s="207"/>
      <c r="M7" s="207"/>
      <c r="N7" s="207"/>
      <c r="O7" s="207"/>
      <c r="P7" s="169"/>
      <c r="Q7" s="208"/>
      <c r="R7" s="166" t="str">
        <f ca="1">IF(ISERROR($V7),"",OFFSET('Smelter Look-up'!$C$4,$V7-4,0)&amp;"")</f>
        <v>EM Vinto</v>
      </c>
      <c r="S7" s="165" t="str">
        <f t="shared" ca="1" si="2"/>
        <v>Unknown</v>
      </c>
      <c r="T7" s="165" t="e">
        <f ca="1">IF(B7="","",IF(ISERROR(MATCH($J7,SorP!$B$1:$B$6261,0)),"",INDIRECT("'SorP'!$A$"&amp;MATCH($S7&amp;$J7,SorP!C:C,0))))</f>
        <v>#N/A</v>
      </c>
      <c r="U7" s="185"/>
      <c r="V7" s="209">
        <f>IF(C7="",NA(),IF(OR(C7="Smelter not listed",C7="Smelter not yet identified"),MATCH($B7&amp;$D7,'Smelter Look-up'!$J:$J,0),MATCH($B7&amp;$C7,'Smelter Look-up'!$J:$J,0)))</f>
        <v>453</v>
      </c>
      <c r="X7" s="210">
        <f t="shared" si="3"/>
        <v>0</v>
      </c>
      <c r="AB7" s="211" t="str">
        <f t="shared" si="4"/>
        <v>TinEM Vinto</v>
      </c>
    </row>
    <row r="8" spans="1:34" s="210" customFormat="1" ht="20.100000000000001" customHeight="1">
      <c r="A8" s="245" t="s">
        <v>15891</v>
      </c>
      <c r="B8" s="166" t="s">
        <v>1088</v>
      </c>
      <c r="C8" s="170" t="s">
        <v>15892</v>
      </c>
      <c r="D8" s="213"/>
      <c r="E8" s="166" t="s">
        <v>1073</v>
      </c>
      <c r="F8" s="166" t="s">
        <v>15891</v>
      </c>
      <c r="G8" s="166" t="s">
        <v>12764</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MY</v>
      </c>
      <c r="T8" s="165" t="str">
        <f ca="1">IF(B8="","",IF(ISERROR(MATCH($J8,SorP!$B$1:$B$6261,0)),"",INDIRECT("'SorP'!$A$"&amp;MATCH($S8&amp;$J8,SorP!C:C,0))))</f>
        <v/>
      </c>
      <c r="U8" s="185"/>
      <c r="V8" s="209" t="e">
        <f>IF(C8="",NA(),IF(OR(C8="Smelter not listed",C8="Smelter not yet identified"),MATCH($B8&amp;$D8,'Smelter Look-up'!$J:$J,0),MATCH($B8&amp;$C8,'Smelter Look-up'!$J:$J,0)))</f>
        <v>#N/A</v>
      </c>
      <c r="X8" s="210">
        <f t="shared" si="3"/>
        <v>0</v>
      </c>
      <c r="AB8" s="211" t="str">
        <f t="shared" si="4"/>
        <v>TinMalaysia Smelting Corporation (MSC)</v>
      </c>
    </row>
    <row r="9" spans="1:34" s="210" customFormat="1" ht="20.100000000000001" customHeight="1">
      <c r="A9" s="245" t="s">
        <v>753</v>
      </c>
      <c r="B9" s="166" t="s">
        <v>1088</v>
      </c>
      <c r="C9" s="170" t="s">
        <v>989</v>
      </c>
      <c r="D9" s="213"/>
      <c r="E9" s="166" t="s">
        <v>848</v>
      </c>
      <c r="F9" s="166" t="s">
        <v>753</v>
      </c>
      <c r="G9" s="166" t="s">
        <v>12764</v>
      </c>
      <c r="H9" s="167">
        <f ca="1">IF(ISERROR($V9),"",OFFSET('Smelter Look-up'!$G$4,$V9-4,0))</f>
        <v>0</v>
      </c>
      <c r="I9" s="168" t="str">
        <f ca="1">IF(ISERROR($V9),"",OFFSET('Smelter Look-up'!$H$4,$V9-4,0))</f>
        <v>Amphur Muang</v>
      </c>
      <c r="J9" s="168" t="str">
        <f ca="1">IF(ISERROR($V9),"",OFFSET('Smelter Look-up'!$I$4,$V9-4,0))</f>
        <v>Phuket</v>
      </c>
      <c r="K9" s="207"/>
      <c r="L9" s="207"/>
      <c r="M9" s="207"/>
      <c r="N9" s="207"/>
      <c r="O9" s="207"/>
      <c r="P9" s="169"/>
      <c r="Q9" s="208"/>
      <c r="R9" s="166" t="str">
        <f ca="1">IF(ISERROR($V9),"",OFFSET('Smelter Look-up'!$C$4,$V9-4,0)&amp;"")</f>
        <v>Thaisarco</v>
      </c>
      <c r="S9" s="165" t="str">
        <f t="shared" ca="1" si="2"/>
        <v>TH</v>
      </c>
      <c r="T9" s="165" t="str">
        <f ca="1">IF(B9="","",IF(ISERROR(MATCH($J9,SorP!$B$1:$B$6261,0)),"",INDIRECT("'SorP'!$A$"&amp;MATCH($S9&amp;$J9,SorP!C:C,0))))</f>
        <v>TH-83</v>
      </c>
      <c r="U9" s="185"/>
      <c r="V9" s="209">
        <f>IF(C9="",NA(),IF(OR(C9="Smelter not listed",C9="Smelter not yet identified"),MATCH($B9&amp;$D9,'Smelter Look-up'!$J:$J,0),MATCH($B9&amp;$C9,'Smelter Look-up'!$J:$J,0)))</f>
        <v>543</v>
      </c>
      <c r="X9" s="210">
        <f t="shared" si="3"/>
        <v>0</v>
      </c>
      <c r="AB9" s="211" t="str">
        <f t="shared" si="4"/>
        <v>TinThaisarco</v>
      </c>
    </row>
    <row r="10" spans="1:34" s="210" customFormat="1" ht="20.100000000000001" customHeight="1">
      <c r="A10" s="245" t="s">
        <v>1728</v>
      </c>
      <c r="B10" s="166" t="s">
        <v>1088</v>
      </c>
      <c r="C10" s="170" t="s">
        <v>14898</v>
      </c>
      <c r="D10" s="213"/>
      <c r="E10" s="166" t="s">
        <v>1053</v>
      </c>
      <c r="F10" s="166" t="s">
        <v>1728</v>
      </c>
      <c r="G10" s="166" t="s">
        <v>12764</v>
      </c>
      <c r="H10" s="167">
        <f ca="1">IF(ISERROR($V10),"",OFFSET('Smelter Look-up'!$G$4,$V10-4,0))</f>
        <v>0</v>
      </c>
      <c r="I10" s="168" t="str">
        <f ca="1">IF(ISERROR($V10),"",OFFSET('Smelter Look-up'!$H$4,$V10-4,0))</f>
        <v>Beerse</v>
      </c>
      <c r="J10" s="168" t="str">
        <f ca="1">IF(ISERROR($V10),"",OFFSET('Smelter Look-up'!$I$4,$V10-4,0))</f>
        <v>Antwerpen</v>
      </c>
      <c r="K10" s="207"/>
      <c r="L10" s="207"/>
      <c r="M10" s="207"/>
      <c r="N10" s="207"/>
      <c r="O10" s="207"/>
      <c r="P10" s="169"/>
      <c r="Q10" s="208"/>
      <c r="R10" s="166" t="str">
        <f ca="1">IF(ISERROR($V10),"",OFFSET('Smelter Look-up'!$C$4,$V10-4,0)&amp;"")</f>
        <v>Aurubis Beerse</v>
      </c>
      <c r="S10" s="165" t="str">
        <f t="shared" ca="1" si="2"/>
        <v>BE</v>
      </c>
      <c r="T10" s="165" t="str">
        <f ca="1">IF(B10="","",IF(ISERROR(MATCH($J10,SorP!$B$1:$B$6261,0)),"",INDIRECT("'SorP'!$A$"&amp;MATCH($S10&amp;$J10,SorP!C:C,0))))</f>
        <v>BE-VAN</v>
      </c>
      <c r="U10" s="185"/>
      <c r="V10" s="209">
        <f>IF(C10="",NA(),IF(OR(C10="Smelter not listed",C10="Smelter not yet identified"),MATCH($B10&amp;$D10,'Smelter Look-up'!$J:$J,0),MATCH($B10&amp;$C10,'Smelter Look-up'!$J:$J,0)))</f>
        <v>423</v>
      </c>
      <c r="X10" s="210">
        <f t="shared" si="3"/>
        <v>0</v>
      </c>
      <c r="AB10" s="211" t="str">
        <f t="shared" si="4"/>
        <v>TinAurubis Beerse</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399999999999999">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399999999999999">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0AEF41-BC9A-47AB-B0D9-44DE338FE92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QuickCable Corporation (508-0000042029)</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Esther Keza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ekeza@quickcable.com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(262) 504-2435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Esther Keza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ekeza@quickcable.com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46171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https://www.quickcable.com/resources/conflict-materials-reporting-download/</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Cleo Brand</cp:lastModifiedBy>
  <cp:lastPrinted>2015-04-21T20:47:43Z</cp:lastPrinted>
  <dcterms:created xsi:type="dcterms:W3CDTF">2010-06-21T21:00:23Z</dcterms:created>
  <dcterms:modified xsi:type="dcterms:W3CDTF">2026-05-29T12:31:49Z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